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105" windowWidth="6000" windowHeight="6465" tabRatio="619" activeTab="3"/>
  </bookViews>
  <sheets>
    <sheet name="Нормы по школам-интернатам" sheetId="1" r:id="rId1"/>
    <sheet name="завтрак" sheetId="2" r:id="rId2"/>
    <sheet name="обед" sheetId="3" r:id="rId3"/>
    <sheet name="за день" sheetId="4" r:id="rId4"/>
  </sheets>
  <definedNames/>
  <calcPr fullCalcOnLoad="1"/>
</workbook>
</file>

<file path=xl/sharedStrings.xml><?xml version="1.0" encoding="utf-8"?>
<sst xmlns="http://schemas.openxmlformats.org/spreadsheetml/2006/main" count="255" uniqueCount="77">
  <si>
    <t>продукты</t>
  </si>
  <si>
    <t>белки, г</t>
  </si>
  <si>
    <t>жиры, г</t>
  </si>
  <si>
    <t>углеводы, г</t>
  </si>
  <si>
    <t>калорийность, ккал</t>
  </si>
  <si>
    <t>хлеб пшеничный</t>
  </si>
  <si>
    <t>хлеб ржаной</t>
  </si>
  <si>
    <t>мука пшеничная</t>
  </si>
  <si>
    <t>картофель</t>
  </si>
  <si>
    <t>фрукты свежие</t>
  </si>
  <si>
    <t>кондитерские изделия</t>
  </si>
  <si>
    <t>сахар</t>
  </si>
  <si>
    <t>масло сливочное</t>
  </si>
  <si>
    <t>масло растительное</t>
  </si>
  <si>
    <t>творог</t>
  </si>
  <si>
    <t>сметана</t>
  </si>
  <si>
    <t>сыр</t>
  </si>
  <si>
    <t>чай</t>
  </si>
  <si>
    <t>соль</t>
  </si>
  <si>
    <t>дрожжи</t>
  </si>
  <si>
    <t>белки</t>
  </si>
  <si>
    <t>жиры</t>
  </si>
  <si>
    <t>углеводы</t>
  </si>
  <si>
    <t>калорийность</t>
  </si>
  <si>
    <t>Биологическая ценность рациона:</t>
  </si>
  <si>
    <t>овощи, зелень</t>
  </si>
  <si>
    <t>какао</t>
  </si>
  <si>
    <t>колбасные изделия</t>
  </si>
  <si>
    <t>% от нормы</t>
  </si>
  <si>
    <t xml:space="preserve"> г</t>
  </si>
  <si>
    <t xml:space="preserve"> ккал</t>
  </si>
  <si>
    <t>брутто, г</t>
  </si>
  <si>
    <t xml:space="preserve"> г </t>
  </si>
  <si>
    <t>Наименование продукции</t>
  </si>
  <si>
    <t>яйцо (в штуках)</t>
  </si>
  <si>
    <t xml:space="preserve"> г, в т.ч.жив. </t>
  </si>
  <si>
    <t xml:space="preserve"> г, в т.ч.раст.</t>
  </si>
  <si>
    <t>фактическая</t>
  </si>
  <si>
    <t>крупы, бобовые</t>
  </si>
  <si>
    <t>макаронные изделия</t>
  </si>
  <si>
    <t>овощи свежие, зелень</t>
  </si>
  <si>
    <t>фрукты (плоды) свежие</t>
  </si>
  <si>
    <t>фрукты (плоды) сухие, в т.ч. шиповник</t>
  </si>
  <si>
    <t>Среднесуточные наборы пищевых продуктов, в том числе, используемых для приготовления блюд и напитков, для обучающихся общеобразовательных учреждений   (приложение 8 к СанПиН 2.4.5.2409-08)</t>
  </si>
  <si>
    <t>рыба-филе</t>
  </si>
  <si>
    <t>яйцо диетическое</t>
  </si>
  <si>
    <t>дрожжи хлебопекарные</t>
  </si>
  <si>
    <t>нетто, г</t>
  </si>
  <si>
    <t>7 - 10 лет</t>
  </si>
  <si>
    <t>11 - 18 лет</t>
  </si>
  <si>
    <t xml:space="preserve">мясо жилованное </t>
  </si>
  <si>
    <t>цыплята 1 категории потрошенные</t>
  </si>
  <si>
    <t>или мясо на кости 1 кат.</t>
  </si>
  <si>
    <t>или куры 1 кат. п/п</t>
  </si>
  <si>
    <r>
      <t>сметана (</t>
    </r>
    <r>
      <rPr>
        <sz val="8"/>
        <rFont val="Arial Cyr"/>
        <family val="0"/>
      </rPr>
      <t>массовая доля жира не более 15%</t>
    </r>
    <r>
      <rPr>
        <sz val="10"/>
        <rFont val="Arial Cyr"/>
        <family val="2"/>
      </rPr>
      <t>)</t>
    </r>
  </si>
  <si>
    <r>
      <t>творог (</t>
    </r>
    <r>
      <rPr>
        <sz val="8"/>
        <rFont val="Arial Cyr"/>
        <family val="0"/>
      </rPr>
      <t>массовая доля жира 9%</t>
    </r>
    <r>
      <rPr>
        <sz val="10"/>
        <rFont val="Arial Cyr"/>
        <family val="2"/>
      </rPr>
      <t>)</t>
    </r>
  </si>
  <si>
    <t>соки плодоовощные, напитки витаминизированные, в т.ч. инстантные</t>
  </si>
  <si>
    <t>мясо жилованное</t>
  </si>
  <si>
    <t>цыплята 1 кат.потрошенные</t>
  </si>
  <si>
    <t>или куры 1 кат.п/п</t>
  </si>
  <si>
    <t>фрукты сухие, в т.ч. шиповник</t>
  </si>
  <si>
    <t>птица среднее</t>
  </si>
  <si>
    <r>
      <t>молоко (</t>
    </r>
    <r>
      <rPr>
        <sz val="8"/>
        <rFont val="Arial Cyr"/>
        <family val="0"/>
      </rPr>
      <t>массовая доля жира 2,5%</t>
    </r>
    <r>
      <rPr>
        <sz val="10"/>
        <rFont val="Arial Cyr"/>
        <family val="2"/>
      </rPr>
      <t>)</t>
    </r>
  </si>
  <si>
    <r>
      <t>кисломолочные продукты (</t>
    </r>
    <r>
      <rPr>
        <sz val="8"/>
        <rFont val="Arial Cyr"/>
        <family val="0"/>
      </rPr>
      <t>массовая доля жира 2,5%</t>
    </r>
    <r>
      <rPr>
        <sz val="10"/>
        <rFont val="Arial Cyr"/>
        <family val="2"/>
      </rPr>
      <t>)</t>
    </r>
  </si>
  <si>
    <t>молоко среднее</t>
  </si>
  <si>
    <t>кефир среднее</t>
  </si>
  <si>
    <r>
      <t xml:space="preserve">             (</t>
    </r>
    <r>
      <rPr>
        <sz val="8"/>
        <rFont val="Arial Cyr"/>
        <family val="0"/>
      </rPr>
      <t>массовая доля жира 3,2%</t>
    </r>
    <r>
      <rPr>
        <sz val="10"/>
        <rFont val="Arial Cyr"/>
        <family val="2"/>
      </rPr>
      <t>)</t>
    </r>
  </si>
  <si>
    <r>
      <t xml:space="preserve">                                             (</t>
    </r>
    <r>
      <rPr>
        <sz val="8"/>
        <rFont val="Arial Cyr"/>
        <family val="0"/>
      </rPr>
      <t>массовая доля жира 3,2%</t>
    </r>
    <r>
      <rPr>
        <sz val="10"/>
        <rFont val="Arial Cyr"/>
        <family val="2"/>
      </rPr>
      <t>)</t>
    </r>
  </si>
  <si>
    <t>Расчет химического состава продуктов по данным справочника под ред.И.М.Скурихина и В.А.Тутельяна, 2002 г.</t>
  </si>
  <si>
    <t>молоко 2,5%</t>
  </si>
  <si>
    <t>кисломолочные продукты 2,5%</t>
  </si>
  <si>
    <t>или 3,2%</t>
  </si>
  <si>
    <t>соки и витаминиз.напитки</t>
  </si>
  <si>
    <t>191214      Володарский район ШКОЛЫ     ЗАВТРАК (25% от нормы)</t>
  </si>
  <si>
    <t>191214    Володарский район ШКОЛЫ   ОБЕД ( 35% от нормы)</t>
  </si>
  <si>
    <t>191214     Володарский район ШКОЛЫ    ГПД  (60% от нормы)</t>
  </si>
  <si>
    <t>2015-2016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</si>
</sst>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&quot;р.&quot;"/>
    <numFmt numFmtId="185" formatCode="#,##0.0"/>
    <numFmt numFmtId="186" formatCode="0.000000"/>
    <numFmt numFmtId="187" formatCode="0.000000000000000000"/>
    <numFmt numFmtId="188" formatCode="[$-FC19]d\ mmmm\ yyyy\ &quot;г.&quot;"/>
    <numFmt numFmtId="189" formatCode="[$-419]mmmm\ yyyy;@"/>
  </numFmts>
  <fonts count="48">
    <font>
      <sz val="10"/>
      <name val="Arial"/>
      <family val="0"/>
    </font>
    <font>
      <sz val="11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9"/>
      <name val="Arial"/>
      <family val="2"/>
    </font>
    <font>
      <b/>
      <sz val="11"/>
      <name val="Arial Cyr"/>
      <family val="0"/>
    </font>
    <font>
      <sz val="6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8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180" fontId="0" fillId="0" borderId="0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180" fontId="8" fillId="0" borderId="25" xfId="0" applyNumberFormat="1" applyFont="1" applyBorder="1" applyAlignment="1">
      <alignment horizontal="right" vertical="top"/>
    </xf>
    <xf numFmtId="189" fontId="1" fillId="33" borderId="26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Font="1" applyBorder="1" applyAlignment="1" applyProtection="1">
      <alignment horizontal="center" vertical="top" wrapText="1"/>
      <protection/>
    </xf>
    <xf numFmtId="1" fontId="0" fillId="0" borderId="0" xfId="0" applyNumberFormat="1" applyFont="1" applyBorder="1" applyAlignment="1" applyProtection="1">
      <alignment horizontal="center" vertical="top" wrapText="1"/>
      <protection/>
    </xf>
    <xf numFmtId="18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7" fillId="0" borderId="27" xfId="0" applyFont="1" applyBorder="1" applyAlignment="1">
      <alignment horizontal="center" vertical="top" wrapText="1"/>
    </xf>
    <xf numFmtId="180" fontId="8" fillId="0" borderId="16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80" fontId="8" fillId="0" borderId="28" xfId="0" applyNumberFormat="1" applyFont="1" applyBorder="1" applyAlignment="1">
      <alignment horizontal="right" vertical="top"/>
    </xf>
    <xf numFmtId="180" fontId="8" fillId="0" borderId="15" xfId="0" applyNumberFormat="1" applyFont="1" applyBorder="1" applyAlignment="1">
      <alignment horizontal="right" vertical="top"/>
    </xf>
    <xf numFmtId="180" fontId="3" fillId="0" borderId="29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180" fontId="3" fillId="0" borderId="31" xfId="0" applyNumberFormat="1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180" fontId="3" fillId="0" borderId="33" xfId="0" applyNumberFormat="1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1" fontId="3" fillId="0" borderId="35" xfId="0" applyNumberFormat="1" applyFont="1" applyFill="1" applyBorder="1" applyAlignment="1">
      <alignment horizontal="center" vertical="top" wrapText="1"/>
    </xf>
    <xf numFmtId="1" fontId="3" fillId="0" borderId="36" xfId="0" applyNumberFormat="1" applyFont="1" applyFill="1" applyBorder="1" applyAlignment="1">
      <alignment horizontal="center" vertical="top" wrapText="1"/>
    </xf>
    <xf numFmtId="1" fontId="3" fillId="0" borderId="37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39" xfId="0" applyFont="1" applyFill="1" applyBorder="1" applyAlignment="1">
      <alignment vertical="top" wrapText="1"/>
    </xf>
    <xf numFmtId="1" fontId="3" fillId="0" borderId="40" xfId="0" applyNumberFormat="1" applyFont="1" applyFill="1" applyBorder="1" applyAlignment="1">
      <alignment horizontal="center" vertical="top" wrapText="1"/>
    </xf>
    <xf numFmtId="180" fontId="3" fillId="0" borderId="41" xfId="0" applyNumberFormat="1" applyFont="1" applyFill="1" applyBorder="1" applyAlignment="1">
      <alignment horizontal="center" vertical="top" wrapText="1"/>
    </xf>
    <xf numFmtId="180" fontId="3" fillId="0" borderId="42" xfId="0" applyNumberFormat="1" applyFont="1" applyFill="1" applyBorder="1" applyAlignment="1">
      <alignment horizontal="center" vertical="top" wrapText="1"/>
    </xf>
    <xf numFmtId="180" fontId="3" fillId="0" borderId="42" xfId="0" applyNumberFormat="1" applyFont="1" applyFill="1" applyBorder="1" applyAlignment="1">
      <alignment horizontal="center" vertical="top"/>
    </xf>
    <xf numFmtId="180" fontId="3" fillId="0" borderId="43" xfId="0" applyNumberFormat="1" applyFont="1" applyFill="1" applyBorder="1" applyAlignment="1">
      <alignment horizontal="center" vertical="top" wrapText="1"/>
    </xf>
    <xf numFmtId="180" fontId="3" fillId="0" borderId="44" xfId="0" applyNumberFormat="1" applyFont="1" applyFill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48" xfId="0" applyFont="1" applyBorder="1" applyAlignment="1" applyProtection="1">
      <alignment horizontal="center" vertical="top" wrapText="1"/>
      <protection/>
    </xf>
    <xf numFmtId="0" fontId="2" fillId="0" borderId="49" xfId="0" applyFont="1" applyBorder="1" applyAlignment="1" applyProtection="1">
      <alignment horizontal="center" vertical="top" wrapText="1"/>
      <protection/>
    </xf>
    <xf numFmtId="180" fontId="2" fillId="0" borderId="50" xfId="0" applyNumberFormat="1" applyFont="1" applyBorder="1" applyAlignment="1" applyProtection="1">
      <alignment horizontal="center" wrapText="1"/>
      <protection/>
    </xf>
    <xf numFmtId="180" fontId="2" fillId="0" borderId="51" xfId="0" applyNumberFormat="1" applyFont="1" applyBorder="1" applyAlignment="1" applyProtection="1">
      <alignment horizontal="center" wrapText="1"/>
      <protection/>
    </xf>
    <xf numFmtId="180" fontId="1" fillId="0" borderId="50" xfId="0" applyNumberFormat="1" applyFont="1" applyBorder="1" applyAlignment="1" applyProtection="1">
      <alignment horizontal="center" wrapText="1"/>
      <protection/>
    </xf>
    <xf numFmtId="180" fontId="1" fillId="0" borderId="51" xfId="0" applyNumberFormat="1" applyFont="1" applyBorder="1" applyAlignment="1" applyProtection="1">
      <alignment horizontal="center" wrapText="1"/>
      <protection/>
    </xf>
    <xf numFmtId="180" fontId="2" fillId="0" borderId="12" xfId="0" applyNumberFormat="1" applyFont="1" applyBorder="1" applyAlignment="1" applyProtection="1">
      <alignment horizontal="center" wrapText="1"/>
      <protection/>
    </xf>
    <xf numFmtId="180" fontId="2" fillId="0" borderId="36" xfId="0" applyNumberFormat="1" applyFont="1" applyBorder="1" applyAlignment="1" applyProtection="1">
      <alignment horizontal="center" wrapText="1"/>
      <protection/>
    </xf>
    <xf numFmtId="180" fontId="1" fillId="0" borderId="12" xfId="0" applyNumberFormat="1" applyFont="1" applyBorder="1" applyAlignment="1" applyProtection="1">
      <alignment horizontal="center" wrapText="1"/>
      <protection/>
    </xf>
    <xf numFmtId="180" fontId="1" fillId="0" borderId="36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wrapText="1"/>
      <protection/>
    </xf>
    <xf numFmtId="180" fontId="1" fillId="0" borderId="0" xfId="0" applyNumberFormat="1" applyFont="1" applyBorder="1" applyAlignment="1" applyProtection="1">
      <alignment horizontal="center" vertical="top" wrapText="1"/>
      <protection/>
    </xf>
    <xf numFmtId="180" fontId="2" fillId="0" borderId="0" xfId="0" applyNumberFormat="1" applyFont="1" applyBorder="1" applyAlignment="1" applyProtection="1">
      <alignment horizontal="center" vertical="top" wrapText="1"/>
      <protection/>
    </xf>
    <xf numFmtId="180" fontId="2" fillId="0" borderId="11" xfId="0" applyNumberFormat="1" applyFont="1" applyBorder="1" applyAlignment="1" applyProtection="1">
      <alignment horizontal="right" vertical="top" wrapText="1"/>
      <protection/>
    </xf>
    <xf numFmtId="180" fontId="2" fillId="0" borderId="12" xfId="0" applyNumberFormat="1" applyFont="1" applyBorder="1" applyAlignment="1" applyProtection="1">
      <alignment horizontal="right" vertical="top" wrapText="1"/>
      <protection/>
    </xf>
    <xf numFmtId="1" fontId="2" fillId="0" borderId="36" xfId="0" applyNumberFormat="1" applyFont="1" applyBorder="1" applyAlignment="1" applyProtection="1">
      <alignment horizontal="right" vertical="top" wrapText="1"/>
      <protection/>
    </xf>
    <xf numFmtId="180" fontId="1" fillId="0" borderId="0" xfId="0" applyNumberFormat="1" applyFont="1" applyBorder="1" applyAlignment="1" applyProtection="1">
      <alignment horizontal="right" vertical="top" wrapText="1"/>
      <protection/>
    </xf>
    <xf numFmtId="180" fontId="1" fillId="0" borderId="0" xfId="0" applyNumberFormat="1" applyFont="1" applyBorder="1" applyAlignment="1" applyProtection="1">
      <alignment horizontal="right" wrapText="1"/>
      <protection/>
    </xf>
    <xf numFmtId="0" fontId="2" fillId="0" borderId="25" xfId="0" applyFont="1" applyBorder="1" applyAlignment="1" applyProtection="1">
      <alignment vertical="top" wrapText="1"/>
      <protection/>
    </xf>
    <xf numFmtId="0" fontId="2" fillId="0" borderId="28" xfId="0" applyFont="1" applyBorder="1" applyAlignment="1" applyProtection="1">
      <alignment vertical="top" wrapText="1"/>
      <protection/>
    </xf>
    <xf numFmtId="0" fontId="2" fillId="0" borderId="28" xfId="0" applyFont="1" applyBorder="1" applyAlignment="1" applyProtection="1">
      <alignment horizontal="right" vertical="top" wrapText="1"/>
      <protection/>
    </xf>
    <xf numFmtId="0" fontId="2" fillId="0" borderId="28" xfId="0" applyFont="1" applyFill="1" applyBorder="1" applyAlignment="1" applyProtection="1">
      <alignment vertical="top" wrapText="1"/>
      <protection/>
    </xf>
    <xf numFmtId="0" fontId="2" fillId="0" borderId="28" xfId="0" applyFont="1" applyFill="1" applyBorder="1" applyAlignment="1" applyProtection="1">
      <alignment vertical="top" wrapText="1"/>
      <protection/>
    </xf>
    <xf numFmtId="0" fontId="2" fillId="0" borderId="52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29" xfId="0" applyFont="1" applyBorder="1" applyAlignment="1" applyProtection="1">
      <alignment wrapText="1"/>
      <protection/>
    </xf>
    <xf numFmtId="180" fontId="2" fillId="0" borderId="33" xfId="0" applyNumberFormat="1" applyFont="1" applyBorder="1" applyAlignment="1" applyProtection="1">
      <alignment horizontal="center" wrapText="1"/>
      <protection/>
    </xf>
    <xf numFmtId="180" fontId="2" fillId="0" borderId="37" xfId="0" applyNumberFormat="1" applyFont="1" applyBorder="1" applyAlignment="1" applyProtection="1">
      <alignment horizontal="center" wrapText="1"/>
      <protection/>
    </xf>
    <xf numFmtId="0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4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Border="1" applyAlignment="1">
      <alignment/>
    </xf>
    <xf numFmtId="1" fontId="9" fillId="0" borderId="52" xfId="0" applyNumberFormat="1" applyFont="1" applyBorder="1" applyAlignment="1">
      <alignment horizontal="right"/>
    </xf>
    <xf numFmtId="0" fontId="2" fillId="0" borderId="28" xfId="0" applyFont="1" applyFill="1" applyBorder="1" applyAlignment="1" applyProtection="1">
      <alignment horizontal="right" vertical="top" wrapText="1"/>
      <protection/>
    </xf>
    <xf numFmtId="0" fontId="2" fillId="0" borderId="28" xfId="0" applyFont="1" applyFill="1" applyBorder="1" applyAlignment="1" applyProtection="1">
      <alignment horizontal="right" vertical="top" wrapText="1"/>
      <protection/>
    </xf>
    <xf numFmtId="0" fontId="3" fillId="0" borderId="28" xfId="0" applyFont="1" applyFill="1" applyBorder="1" applyAlignment="1" applyProtection="1">
      <alignment vertical="top" wrapText="1"/>
      <protection/>
    </xf>
    <xf numFmtId="0" fontId="2" fillId="0" borderId="53" xfId="0" applyFont="1" applyBorder="1" applyAlignment="1" applyProtection="1">
      <alignment horizontal="center" vertical="top" wrapText="1"/>
      <protection/>
    </xf>
    <xf numFmtId="0" fontId="3" fillId="0" borderId="54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vertical="top" wrapText="1"/>
      <protection/>
    </xf>
    <xf numFmtId="0" fontId="0" fillId="0" borderId="35" xfId="0" applyFont="1" applyBorder="1" applyAlignment="1" applyProtection="1">
      <alignment wrapText="1"/>
      <protection/>
    </xf>
    <xf numFmtId="180" fontId="3" fillId="0" borderId="34" xfId="0" applyNumberFormat="1" applyFont="1" applyBorder="1" applyAlignment="1" applyProtection="1">
      <alignment horizontal="right" vertical="top" wrapText="1"/>
      <protection/>
    </xf>
    <xf numFmtId="180" fontId="3" fillId="0" borderId="33" xfId="0" applyNumberFormat="1" applyFont="1" applyBorder="1" applyAlignment="1" applyProtection="1">
      <alignment horizontal="right" vertical="top" wrapText="1"/>
      <protection/>
    </xf>
    <xf numFmtId="180" fontId="3" fillId="0" borderId="37" xfId="0" applyNumberFormat="1" applyFont="1" applyBorder="1" applyAlignment="1" applyProtection="1">
      <alignment horizontal="right" vertical="top" wrapText="1"/>
      <protection/>
    </xf>
    <xf numFmtId="180" fontId="0" fillId="0" borderId="0" xfId="0" applyNumberFormat="1" applyFont="1" applyBorder="1" applyAlignment="1" applyProtection="1">
      <alignment horizontal="right" vertical="top" wrapText="1"/>
      <protection/>
    </xf>
    <xf numFmtId="180" fontId="0" fillId="0" borderId="0" xfId="0" applyNumberFormat="1" applyFont="1" applyBorder="1" applyAlignment="1" applyProtection="1">
      <alignment horizontal="right" wrapText="1"/>
      <protection/>
    </xf>
    <xf numFmtId="180" fontId="0" fillId="0" borderId="34" xfId="0" applyNumberFormat="1" applyFont="1" applyBorder="1" applyAlignment="1" applyProtection="1">
      <alignment horizontal="right" wrapText="1"/>
      <protection/>
    </xf>
    <xf numFmtId="180" fontId="0" fillId="0" borderId="33" xfId="0" applyNumberFormat="1" applyFont="1" applyBorder="1" applyAlignment="1" applyProtection="1">
      <alignment horizontal="right" wrapText="1"/>
      <protection/>
    </xf>
    <xf numFmtId="180" fontId="0" fillId="0" borderId="37" xfId="0" applyNumberFormat="1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wrapText="1"/>
      <protection/>
    </xf>
    <xf numFmtId="180" fontId="10" fillId="0" borderId="12" xfId="0" applyNumberFormat="1" applyFont="1" applyBorder="1" applyAlignment="1" applyProtection="1">
      <alignment horizontal="center" wrapText="1"/>
      <protection/>
    </xf>
    <xf numFmtId="180" fontId="10" fillId="0" borderId="50" xfId="0" applyNumberFormat="1" applyFont="1" applyBorder="1" applyAlignment="1" applyProtection="1">
      <alignment horizontal="center" wrapText="1"/>
      <protection/>
    </xf>
    <xf numFmtId="180" fontId="10" fillId="0" borderId="33" xfId="0" applyNumberFormat="1" applyFont="1" applyBorder="1" applyAlignment="1" applyProtection="1">
      <alignment horizontal="center" wrapText="1"/>
      <protection/>
    </xf>
    <xf numFmtId="180" fontId="1" fillId="0" borderId="33" xfId="0" applyNumberFormat="1" applyFont="1" applyBorder="1" applyAlignment="1" applyProtection="1">
      <alignment horizontal="center" wrapText="1"/>
      <protection/>
    </xf>
    <xf numFmtId="180" fontId="1" fillId="0" borderId="37" xfId="0" applyNumberFormat="1" applyFont="1" applyBorder="1" applyAlignment="1" applyProtection="1">
      <alignment horizont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29" xfId="0" applyFont="1" applyBorder="1" applyAlignment="1" applyProtection="1">
      <alignment wrapText="1"/>
      <protection/>
    </xf>
    <xf numFmtId="180" fontId="2" fillId="0" borderId="34" xfId="0" applyNumberFormat="1" applyFont="1" applyBorder="1" applyAlignment="1" applyProtection="1">
      <alignment horizontal="right" vertical="top" wrapText="1"/>
      <protection/>
    </xf>
    <xf numFmtId="180" fontId="2" fillId="0" borderId="33" xfId="0" applyNumberFormat="1" applyFont="1" applyBorder="1" applyAlignment="1" applyProtection="1">
      <alignment horizontal="right" vertical="top" wrapText="1"/>
      <protection/>
    </xf>
    <xf numFmtId="180" fontId="2" fillId="0" borderId="37" xfId="0" applyNumberFormat="1" applyFont="1" applyBorder="1" applyAlignment="1" applyProtection="1">
      <alignment horizontal="right" vertical="top" wrapText="1"/>
      <protection/>
    </xf>
    <xf numFmtId="180" fontId="1" fillId="0" borderId="34" xfId="0" applyNumberFormat="1" applyFont="1" applyBorder="1" applyAlignment="1" applyProtection="1">
      <alignment horizontal="right" wrapText="1"/>
      <protection/>
    </xf>
    <xf numFmtId="180" fontId="1" fillId="0" borderId="33" xfId="0" applyNumberFormat="1" applyFont="1" applyBorder="1" applyAlignment="1" applyProtection="1">
      <alignment horizontal="right" wrapText="1"/>
      <protection/>
    </xf>
    <xf numFmtId="180" fontId="1" fillId="0" borderId="37" xfId="0" applyNumberFormat="1" applyFont="1" applyBorder="1" applyAlignment="1" applyProtection="1">
      <alignment horizontal="right" wrapText="1"/>
      <protection/>
    </xf>
    <xf numFmtId="0" fontId="12" fillId="0" borderId="56" xfId="0" applyFont="1" applyBorder="1" applyAlignment="1">
      <alignment horizontal="left" vertical="top" wrapText="1"/>
    </xf>
    <xf numFmtId="0" fontId="13" fillId="0" borderId="56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1" fillId="0" borderId="56" xfId="0" applyNumberFormat="1" applyFont="1" applyFill="1" applyBorder="1" applyAlignment="1">
      <alignment horizontal="center" wrapText="1"/>
    </xf>
    <xf numFmtId="0" fontId="0" fillId="0" borderId="56" xfId="0" applyBorder="1" applyAlignment="1">
      <alignment horizontal="center"/>
    </xf>
    <xf numFmtId="49" fontId="1" fillId="33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wrapText="1"/>
      <protection/>
    </xf>
    <xf numFmtId="0" fontId="1" fillId="0" borderId="55" xfId="0" applyFont="1" applyBorder="1" applyAlignment="1" applyProtection="1">
      <alignment horizontal="center" wrapText="1"/>
      <protection/>
    </xf>
    <xf numFmtId="0" fontId="1" fillId="0" borderId="50" xfId="0" applyFont="1" applyBorder="1" applyAlignment="1" applyProtection="1">
      <alignment horizontal="center" wrapText="1"/>
      <protection/>
    </xf>
    <xf numFmtId="0" fontId="1" fillId="0" borderId="51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="83" zoomScaleNormal="83" zoomScalePageLayoutView="0" workbookViewId="0" topLeftCell="A1">
      <selection activeCell="G38" sqref="G38"/>
    </sheetView>
  </sheetViews>
  <sheetFormatPr defaultColWidth="9.140625" defaultRowHeight="12.75"/>
  <cols>
    <col min="1" max="1" width="52.140625" style="0" customWidth="1"/>
    <col min="2" max="3" width="6.57421875" style="0" customWidth="1"/>
    <col min="4" max="4" width="5.421875" style="0" customWidth="1"/>
    <col min="5" max="5" width="5.7109375" style="0" customWidth="1"/>
    <col min="6" max="6" width="8.421875" style="0" customWidth="1"/>
    <col min="7" max="7" width="11.28125" style="0" customWidth="1"/>
    <col min="8" max="9" width="6.421875" style="0" customWidth="1"/>
    <col min="10" max="10" width="5.57421875" style="3" customWidth="1"/>
    <col min="11" max="11" width="5.28125" style="0" customWidth="1"/>
    <col min="12" max="12" width="8.421875" style="0" customWidth="1"/>
    <col min="13" max="13" width="11.28125" style="0" customWidth="1"/>
  </cols>
  <sheetData>
    <row r="1" spans="1:13" s="13" customFormat="1" ht="27" customHeight="1">
      <c r="A1" s="150" t="s">
        <v>43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13" customFormat="1" ht="10.5" customHeight="1" thickBot="1">
      <c r="A2" s="151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3.5" customHeight="1" thickBot="1">
      <c r="A3" s="143" t="s">
        <v>33</v>
      </c>
      <c r="B3" s="145" t="s">
        <v>48</v>
      </c>
      <c r="C3" s="146"/>
      <c r="D3" s="146"/>
      <c r="E3" s="146"/>
      <c r="F3" s="146"/>
      <c r="G3" s="147"/>
      <c r="H3" s="145" t="s">
        <v>49</v>
      </c>
      <c r="I3" s="148"/>
      <c r="J3" s="148"/>
      <c r="K3" s="148"/>
      <c r="L3" s="148"/>
      <c r="M3" s="149"/>
    </row>
    <row r="4" spans="1:13" s="2" customFormat="1" ht="21" customHeight="1" thickBot="1">
      <c r="A4" s="144"/>
      <c r="B4" s="18" t="s">
        <v>31</v>
      </c>
      <c r="C4" s="67" t="s">
        <v>47</v>
      </c>
      <c r="D4" s="42" t="s">
        <v>1</v>
      </c>
      <c r="E4" s="19" t="s">
        <v>2</v>
      </c>
      <c r="F4" s="19" t="s">
        <v>3</v>
      </c>
      <c r="G4" s="20" t="s">
        <v>4</v>
      </c>
      <c r="H4" s="18" t="s">
        <v>31</v>
      </c>
      <c r="I4" s="67" t="s">
        <v>47</v>
      </c>
      <c r="J4" s="42" t="s">
        <v>1</v>
      </c>
      <c r="K4" s="19" t="s">
        <v>2</v>
      </c>
      <c r="L4" s="19" t="s">
        <v>3</v>
      </c>
      <c r="M4" s="20" t="s">
        <v>4</v>
      </c>
    </row>
    <row r="5" spans="1:13" ht="13.5" customHeight="1">
      <c r="A5" s="60" t="s">
        <v>6</v>
      </c>
      <c r="B5" s="7">
        <v>80</v>
      </c>
      <c r="C5" s="68">
        <v>80</v>
      </c>
      <c r="D5" s="62">
        <f>4.9*C5/100</f>
        <v>3.92</v>
      </c>
      <c r="E5" s="48">
        <f>1*C5/100</f>
        <v>0.8</v>
      </c>
      <c r="F5" s="48">
        <f>44.8*C5/100</f>
        <v>35.84</v>
      </c>
      <c r="G5" s="54">
        <f>210*C5/100</f>
        <v>168</v>
      </c>
      <c r="H5" s="49">
        <v>120</v>
      </c>
      <c r="I5" s="72">
        <v>120</v>
      </c>
      <c r="J5" s="62">
        <f>4.9*I5/100</f>
        <v>5.88</v>
      </c>
      <c r="K5" s="48">
        <f>1*I5/100</f>
        <v>1.2</v>
      </c>
      <c r="L5" s="48">
        <f>44.8*I5/100</f>
        <v>53.76</v>
      </c>
      <c r="M5" s="54">
        <f>210*I5/100</f>
        <v>252</v>
      </c>
    </row>
    <row r="6" spans="1:13" ht="13.5" customHeight="1">
      <c r="A6" s="57" t="s">
        <v>5</v>
      </c>
      <c r="B6" s="8">
        <v>150</v>
      </c>
      <c r="C6" s="69">
        <v>150</v>
      </c>
      <c r="D6" s="63">
        <f>7.6*C6/100</f>
        <v>11.4</v>
      </c>
      <c r="E6" s="10">
        <f>0.8*C6/100</f>
        <v>1.2</v>
      </c>
      <c r="F6" s="10">
        <f>49.2*C6/100</f>
        <v>73.8</v>
      </c>
      <c r="G6" s="55">
        <f>235*C6/100</f>
        <v>352.5</v>
      </c>
      <c r="H6" s="9">
        <v>200</v>
      </c>
      <c r="I6" s="69">
        <v>200</v>
      </c>
      <c r="J6" s="63">
        <f>7.6*I6/100</f>
        <v>15.2</v>
      </c>
      <c r="K6" s="10">
        <f>0.8*I6/100</f>
        <v>1.6</v>
      </c>
      <c r="L6" s="10">
        <f>49.2*I6/100</f>
        <v>98.4</v>
      </c>
      <c r="M6" s="55">
        <f>235*I6/100</f>
        <v>470</v>
      </c>
    </row>
    <row r="7" spans="1:13" ht="13.5" customHeight="1">
      <c r="A7" s="57" t="s">
        <v>7</v>
      </c>
      <c r="B7" s="8">
        <v>15</v>
      </c>
      <c r="C7" s="69">
        <v>15</v>
      </c>
      <c r="D7" s="64">
        <f>10.8*C7/100</f>
        <v>1.62</v>
      </c>
      <c r="E7" s="10">
        <f>1.3*C7/100</f>
        <v>0.195</v>
      </c>
      <c r="F7" s="10">
        <f>69.9*C7/100</f>
        <v>10.485</v>
      </c>
      <c r="G7" s="55">
        <f>334*C7/100</f>
        <v>50.1</v>
      </c>
      <c r="H7" s="9">
        <v>20</v>
      </c>
      <c r="I7" s="69">
        <v>20</v>
      </c>
      <c r="J7" s="64">
        <f>10.8*I7/100</f>
        <v>2.16</v>
      </c>
      <c r="K7" s="10">
        <f>1.3*I7/100</f>
        <v>0.26</v>
      </c>
      <c r="L7" s="10">
        <f>69.9*I7/100</f>
        <v>13.98</v>
      </c>
      <c r="M7" s="55">
        <f>334*I7/100</f>
        <v>66.8</v>
      </c>
    </row>
    <row r="8" spans="1:13" ht="13.5" customHeight="1">
      <c r="A8" s="57" t="s">
        <v>38</v>
      </c>
      <c r="B8" s="8">
        <v>45</v>
      </c>
      <c r="C8" s="69">
        <v>45</v>
      </c>
      <c r="D8" s="63">
        <f>(12.3+7+12.6+11.5)*C8/400</f>
        <v>4.8825</v>
      </c>
      <c r="E8" s="10">
        <f>(6.2+1+3.3+3.3)*C8/400</f>
        <v>1.5525</v>
      </c>
      <c r="F8" s="10">
        <f>(61.8+74+57.1+66.5)*C8/400</f>
        <v>29.182499999999994</v>
      </c>
      <c r="G8" s="55">
        <f>(352+333+308+342)*C8/400</f>
        <v>150.1875</v>
      </c>
      <c r="H8" s="9">
        <v>50</v>
      </c>
      <c r="I8" s="69">
        <v>50</v>
      </c>
      <c r="J8" s="63">
        <f>(12.3+7+12.6+11.5)*I8/400</f>
        <v>5.425</v>
      </c>
      <c r="K8" s="10">
        <f>(6.2+1+3.3+3.3)*I8/400</f>
        <v>1.725</v>
      </c>
      <c r="L8" s="10">
        <f>(61.8+74+57.1+66.5)*I8/400</f>
        <v>32.425</v>
      </c>
      <c r="M8" s="55">
        <f>(352+333+308+342)*I8/400</f>
        <v>166.875</v>
      </c>
    </row>
    <row r="9" spans="1:13" ht="13.5" customHeight="1">
      <c r="A9" s="57" t="s">
        <v>39</v>
      </c>
      <c r="B9" s="8">
        <v>15</v>
      </c>
      <c r="C9" s="69">
        <v>15</v>
      </c>
      <c r="D9" s="63">
        <f>11*C9/100</f>
        <v>1.65</v>
      </c>
      <c r="E9" s="10">
        <f>1.3*C9/100</f>
        <v>0.195</v>
      </c>
      <c r="F9" s="10">
        <f>70.5*C9/100</f>
        <v>10.575</v>
      </c>
      <c r="G9" s="55">
        <f>338*C9/100</f>
        <v>50.7</v>
      </c>
      <c r="H9" s="9">
        <v>20</v>
      </c>
      <c r="I9" s="69">
        <v>20</v>
      </c>
      <c r="J9" s="63">
        <f>11*I9/100</f>
        <v>2.2</v>
      </c>
      <c r="K9" s="10">
        <f>1.3*I9/100</f>
        <v>0.26</v>
      </c>
      <c r="L9" s="10">
        <f>70.5*I9/100</f>
        <v>14.1</v>
      </c>
      <c r="M9" s="55">
        <f>338*I9/100</f>
        <v>67.6</v>
      </c>
    </row>
    <row r="10" spans="1:13" ht="13.5" customHeight="1">
      <c r="A10" s="57" t="s">
        <v>8</v>
      </c>
      <c r="B10" s="8">
        <v>250</v>
      </c>
      <c r="C10" s="69">
        <v>188</v>
      </c>
      <c r="D10" s="63">
        <f>2*C10/100</f>
        <v>3.76</v>
      </c>
      <c r="E10" s="10">
        <f>0.4*C10/100</f>
        <v>0.752</v>
      </c>
      <c r="F10" s="10">
        <f>16.3*C10/100</f>
        <v>30.644000000000002</v>
      </c>
      <c r="G10" s="55">
        <f>77*C10/100</f>
        <v>144.76</v>
      </c>
      <c r="H10" s="9">
        <v>250</v>
      </c>
      <c r="I10" s="69">
        <v>188</v>
      </c>
      <c r="J10" s="63">
        <f>2*I10/100</f>
        <v>3.76</v>
      </c>
      <c r="K10" s="10">
        <f>0.4*I10/100</f>
        <v>0.752</v>
      </c>
      <c r="L10" s="10">
        <f>16.3*I10/100</f>
        <v>30.644000000000002</v>
      </c>
      <c r="M10" s="55">
        <f>77*I10/100</f>
        <v>144.76</v>
      </c>
    </row>
    <row r="11" spans="1:13" ht="13.5" customHeight="1">
      <c r="A11" s="57" t="s">
        <v>40</v>
      </c>
      <c r="B11" s="8">
        <v>350</v>
      </c>
      <c r="C11" s="69">
        <v>280</v>
      </c>
      <c r="D11" s="63">
        <f>(1.4+1.8+1.3+1.5+0.7+1.1)*C11/600</f>
        <v>3.64</v>
      </c>
      <c r="E11" s="10">
        <f>(0.2+0.1+0.1+0.1+0.1+0.2)*C11/600</f>
        <v>0.37333333333333335</v>
      </c>
      <c r="F11" s="10">
        <f>(8.2+4.7+6.9+8.8+1.9+3.8)*C11/600</f>
        <v>16.006666666666668</v>
      </c>
      <c r="G11" s="55">
        <f>(41+28+35+42+11+24)*C11/600</f>
        <v>84.46666666666667</v>
      </c>
      <c r="H11" s="9">
        <v>400</v>
      </c>
      <c r="I11" s="69">
        <v>320</v>
      </c>
      <c r="J11" s="63">
        <f>(1.4+1.8+1.3+1.5+0.7+1.1)*I11/600</f>
        <v>4.16</v>
      </c>
      <c r="K11" s="10">
        <f>(0.2+0.1+0.1+0.1+0.1+0.2)*I11/600</f>
        <v>0.4266666666666667</v>
      </c>
      <c r="L11" s="10">
        <f>(8.2+4.7+6.9+8.8+1.9+3.8)*I11/600</f>
        <v>18.293333333333333</v>
      </c>
      <c r="M11" s="55">
        <f>(41+28+35+42+11+24)*I11/600</f>
        <v>96.53333333333333</v>
      </c>
    </row>
    <row r="12" spans="1:13" ht="13.5" customHeight="1">
      <c r="A12" s="57" t="s">
        <v>41</v>
      </c>
      <c r="B12" s="8">
        <v>200</v>
      </c>
      <c r="C12" s="69">
        <v>185</v>
      </c>
      <c r="D12" s="63">
        <f>(0.4+0.9+1.5)*C12/300</f>
        <v>1.7266666666666666</v>
      </c>
      <c r="E12" s="10">
        <f>(0.4+0.2+0.5)*C12/300</f>
        <v>0.6783333333333335</v>
      </c>
      <c r="F12" s="10">
        <f>(9.8+8.1+21)*C12/300</f>
        <v>23.988333333333333</v>
      </c>
      <c r="G12" s="55">
        <f>(47+43+96)*C12/300</f>
        <v>114.7</v>
      </c>
      <c r="H12" s="9">
        <v>200</v>
      </c>
      <c r="I12" s="69">
        <v>185</v>
      </c>
      <c r="J12" s="63">
        <f>(0.4+0.9+1.5)*I12/300</f>
        <v>1.7266666666666666</v>
      </c>
      <c r="K12" s="10">
        <f>(0.4+0.2+0.5)*I12/300</f>
        <v>0.6783333333333335</v>
      </c>
      <c r="L12" s="10">
        <f>(9.8+8.1+21)*I12/300</f>
        <v>23.988333333333333</v>
      </c>
      <c r="M12" s="55">
        <f>(47+43+96)*I12/300</f>
        <v>114.7</v>
      </c>
    </row>
    <row r="13" spans="1:13" ht="13.5" customHeight="1">
      <c r="A13" s="57" t="s">
        <v>42</v>
      </c>
      <c r="B13" s="8">
        <v>15</v>
      </c>
      <c r="C13" s="69">
        <v>15</v>
      </c>
      <c r="D13" s="63">
        <f>(2.3+5.2+2.3+3.4+2.2)*C13/500</f>
        <v>0.4620000000000001</v>
      </c>
      <c r="E13" s="10">
        <f>(0.5+0.3+0.7+1.4+0.1)*C13/500</f>
        <v>0.09</v>
      </c>
      <c r="F13" s="10">
        <f>(65.8+51+57.5+48.3+59)*C13/500</f>
        <v>8.448</v>
      </c>
      <c r="G13" s="55">
        <f>(281+232+256+284+253)*C13/500</f>
        <v>39.18</v>
      </c>
      <c r="H13" s="9">
        <v>20</v>
      </c>
      <c r="I13" s="69">
        <v>20</v>
      </c>
      <c r="J13" s="63">
        <f>(2.3+5.2+2.3+3.4+2.2)*I13/500</f>
        <v>0.6160000000000001</v>
      </c>
      <c r="K13" s="10">
        <f>(0.5+0.3+0.7+1.4+0.1)*I13/500</f>
        <v>0.12</v>
      </c>
      <c r="L13" s="10">
        <f>(65.8+51+57.5+48.3+59)*I13/500</f>
        <v>11.264</v>
      </c>
      <c r="M13" s="55">
        <f>(281+232+256+284+253)*I13/500</f>
        <v>52.24</v>
      </c>
    </row>
    <row r="14" spans="1:13" ht="26.25" customHeight="1">
      <c r="A14" s="57" t="s">
        <v>56</v>
      </c>
      <c r="B14" s="8">
        <v>200</v>
      </c>
      <c r="C14" s="69">
        <v>200</v>
      </c>
      <c r="D14" s="63">
        <f>(0.7+0.5)*C14/200</f>
        <v>1.2</v>
      </c>
      <c r="E14" s="10">
        <f>(0.1+0.1)*C14/200</f>
        <v>0.2</v>
      </c>
      <c r="F14" s="10">
        <f>(13.2+10.1)*C14/200</f>
        <v>23.299999999999997</v>
      </c>
      <c r="G14" s="55">
        <f>(60+46)*C14/200</f>
        <v>106</v>
      </c>
      <c r="H14" s="9">
        <v>200</v>
      </c>
      <c r="I14" s="69">
        <v>200</v>
      </c>
      <c r="J14" s="63">
        <f>(0.7+0.5)*I14/200</f>
        <v>1.2</v>
      </c>
      <c r="K14" s="10">
        <f>(0.1+0.1)*I14/200</f>
        <v>0.2</v>
      </c>
      <c r="L14" s="10">
        <f>(13.2+10.1)*I14/200</f>
        <v>23.299999999999997</v>
      </c>
      <c r="M14" s="55">
        <f>(60+46)*I14/200</f>
        <v>106</v>
      </c>
    </row>
    <row r="15" spans="1:13" ht="13.5" customHeight="1">
      <c r="A15" s="57" t="s">
        <v>50</v>
      </c>
      <c r="B15" s="8">
        <v>77</v>
      </c>
      <c r="C15" s="69">
        <v>70</v>
      </c>
      <c r="D15" s="63">
        <f>18.6*C15/100</f>
        <v>13.02</v>
      </c>
      <c r="E15" s="10">
        <f>16*C15/100</f>
        <v>11.2</v>
      </c>
      <c r="F15" s="10">
        <f>0*C15/100</f>
        <v>0</v>
      </c>
      <c r="G15" s="55">
        <f>218*C15/100</f>
        <v>152.6</v>
      </c>
      <c r="H15" s="9">
        <v>86</v>
      </c>
      <c r="I15" s="69">
        <v>78</v>
      </c>
      <c r="J15" s="63">
        <f>18.6*I15/100</f>
        <v>14.508000000000003</v>
      </c>
      <c r="K15" s="10">
        <f>16*I15/100</f>
        <v>12.48</v>
      </c>
      <c r="L15" s="10">
        <f>0*I15/100</f>
        <v>0</v>
      </c>
      <c r="M15" s="55">
        <f>218*I15/100</f>
        <v>170.04</v>
      </c>
    </row>
    <row r="16" spans="1:13" ht="13.5" customHeight="1">
      <c r="A16" s="59" t="s">
        <v>52</v>
      </c>
      <c r="B16" s="8">
        <v>95</v>
      </c>
      <c r="C16" s="69">
        <v>70</v>
      </c>
      <c r="D16" s="63">
        <f>18.6*C16/100</f>
        <v>13.02</v>
      </c>
      <c r="E16" s="10">
        <f>16*C16/100</f>
        <v>11.2</v>
      </c>
      <c r="F16" s="10">
        <f>0*C16/100</f>
        <v>0</v>
      </c>
      <c r="G16" s="55">
        <f>218*C16/100</f>
        <v>152.6</v>
      </c>
      <c r="H16" s="9">
        <v>105</v>
      </c>
      <c r="I16" s="69">
        <v>78</v>
      </c>
      <c r="J16" s="63">
        <f>18.6*I16/100</f>
        <v>14.508000000000003</v>
      </c>
      <c r="K16" s="10">
        <f>16*I16/100</f>
        <v>12.48</v>
      </c>
      <c r="L16" s="10">
        <f>0*I16/100</f>
        <v>0</v>
      </c>
      <c r="M16" s="55">
        <f>218*I16/100</f>
        <v>170.04</v>
      </c>
    </row>
    <row r="17" spans="1:13" ht="13.5" customHeight="1">
      <c r="A17" s="57" t="s">
        <v>51</v>
      </c>
      <c r="B17" s="8">
        <v>40</v>
      </c>
      <c r="C17" s="69">
        <v>35</v>
      </c>
      <c r="D17" s="63">
        <f>18.7*C17/100</f>
        <v>6.545</v>
      </c>
      <c r="E17" s="10">
        <f>16.1*C17/100</f>
        <v>5.635</v>
      </c>
      <c r="F17" s="10">
        <f>0*C17/100</f>
        <v>0</v>
      </c>
      <c r="G17" s="55">
        <f>220*C17/100</f>
        <v>77</v>
      </c>
      <c r="H17" s="9">
        <v>60</v>
      </c>
      <c r="I17" s="69">
        <v>53</v>
      </c>
      <c r="J17" s="63">
        <f>18.7*I17/100</f>
        <v>9.911</v>
      </c>
      <c r="K17" s="10">
        <f>16.1*I17/100</f>
        <v>8.533000000000001</v>
      </c>
      <c r="L17" s="10">
        <f>0*I17/100</f>
        <v>0</v>
      </c>
      <c r="M17" s="55">
        <f>220*I17/100</f>
        <v>116.6</v>
      </c>
    </row>
    <row r="18" spans="1:13" ht="13.5" customHeight="1">
      <c r="A18" s="59" t="s">
        <v>53</v>
      </c>
      <c r="B18" s="8">
        <v>51</v>
      </c>
      <c r="C18" s="69">
        <v>35</v>
      </c>
      <c r="D18" s="63">
        <f>18.2*C18/100</f>
        <v>6.37</v>
      </c>
      <c r="E18" s="10">
        <f>18.4*C18/100</f>
        <v>6.44</v>
      </c>
      <c r="F18" s="10">
        <f>0*C18/100</f>
        <v>0</v>
      </c>
      <c r="G18" s="55">
        <f>238*C18/100</f>
        <v>83.3</v>
      </c>
      <c r="H18" s="9">
        <v>76</v>
      </c>
      <c r="I18" s="69">
        <v>53</v>
      </c>
      <c r="J18" s="63">
        <f>18.2*I18/100</f>
        <v>9.645999999999999</v>
      </c>
      <c r="K18" s="10">
        <f>18.4*I18/100</f>
        <v>9.751999999999999</v>
      </c>
      <c r="L18" s="10">
        <f>0*I18/100</f>
        <v>0</v>
      </c>
      <c r="M18" s="55">
        <f>238*I18/100</f>
        <v>126.14</v>
      </c>
    </row>
    <row r="19" spans="1:13" ht="13.5" customHeight="1">
      <c r="A19" s="57" t="s">
        <v>44</v>
      </c>
      <c r="B19" s="8">
        <v>60</v>
      </c>
      <c r="C19" s="69">
        <v>58</v>
      </c>
      <c r="D19" s="63">
        <f>(15.9+17+16.6)*C19/300</f>
        <v>9.57</v>
      </c>
      <c r="E19" s="10">
        <f>(0.9+8.5+2.2)*C19/300</f>
        <v>2.242666666666667</v>
      </c>
      <c r="F19" s="10">
        <f>0*C19/100</f>
        <v>0</v>
      </c>
      <c r="G19" s="55">
        <f>(72+145+86)*C19/300</f>
        <v>58.58</v>
      </c>
      <c r="H19" s="9">
        <v>80</v>
      </c>
      <c r="I19" s="69">
        <v>77</v>
      </c>
      <c r="J19" s="63">
        <f>(15.9+17+16.6)*I19/300</f>
        <v>12.705</v>
      </c>
      <c r="K19" s="10">
        <f>(0.9+8.5+2.2)*I19/300</f>
        <v>2.977333333333334</v>
      </c>
      <c r="L19" s="10">
        <f>0*I19/100</f>
        <v>0</v>
      </c>
      <c r="M19" s="55">
        <f>(72+145+86)*I19/300</f>
        <v>77.77</v>
      </c>
    </row>
    <row r="20" spans="1:13" s="6" customFormat="1" ht="13.5" customHeight="1">
      <c r="A20" s="57" t="s">
        <v>27</v>
      </c>
      <c r="B20" s="9">
        <v>15</v>
      </c>
      <c r="C20" s="69">
        <v>14.7</v>
      </c>
      <c r="D20" s="63">
        <f>12.8*C20/100</f>
        <v>1.8816</v>
      </c>
      <c r="E20" s="10">
        <f>22.2*C20/100</f>
        <v>3.2634</v>
      </c>
      <c r="F20" s="10">
        <f>1.5*C20/100</f>
        <v>0.22049999999999997</v>
      </c>
      <c r="G20" s="55">
        <f>257*C20/100</f>
        <v>37.778999999999996</v>
      </c>
      <c r="H20" s="9">
        <v>20</v>
      </c>
      <c r="I20" s="69">
        <v>19.6</v>
      </c>
      <c r="J20" s="63">
        <f>12.8*I20/100</f>
        <v>2.5088000000000004</v>
      </c>
      <c r="K20" s="10">
        <f>22.2*I20/100</f>
        <v>4.3512</v>
      </c>
      <c r="L20" s="10">
        <f>1.5*I20/100</f>
        <v>0.29400000000000004</v>
      </c>
      <c r="M20" s="55">
        <f>257*I20/100</f>
        <v>50.37200000000001</v>
      </c>
    </row>
    <row r="21" spans="1:13" s="6" customFormat="1" ht="13.5" customHeight="1">
      <c r="A21" s="57" t="s">
        <v>62</v>
      </c>
      <c r="B21" s="9">
        <v>300</v>
      </c>
      <c r="C21" s="69">
        <v>300</v>
      </c>
      <c r="D21" s="63">
        <f>2.9*C21/100</f>
        <v>8.7</v>
      </c>
      <c r="E21" s="10">
        <f>2.5*C21/100</f>
        <v>7.5</v>
      </c>
      <c r="F21" s="10">
        <f>4.8*C21/100</f>
        <v>14.4</v>
      </c>
      <c r="G21" s="55">
        <f>54*C21/100</f>
        <v>162</v>
      </c>
      <c r="H21" s="9">
        <v>300</v>
      </c>
      <c r="I21" s="69">
        <v>300</v>
      </c>
      <c r="J21" s="63">
        <f>2.9*I21/100</f>
        <v>8.7</v>
      </c>
      <c r="K21" s="10">
        <f>2.5*I21/100</f>
        <v>7.5</v>
      </c>
      <c r="L21" s="10">
        <f>4.8*I21/100</f>
        <v>14.4</v>
      </c>
      <c r="M21" s="55">
        <f>54*I21/100</f>
        <v>162</v>
      </c>
    </row>
    <row r="22" spans="1:13" s="6" customFormat="1" ht="13.5" customHeight="1">
      <c r="A22" s="57" t="s">
        <v>66</v>
      </c>
      <c r="B22" s="9">
        <v>300</v>
      </c>
      <c r="C22" s="69">
        <v>300</v>
      </c>
      <c r="D22" s="63">
        <f>2.9*C22/100</f>
        <v>8.7</v>
      </c>
      <c r="E22" s="10">
        <f>3.2*C22/100</f>
        <v>9.6</v>
      </c>
      <c r="F22" s="10">
        <f>4.7*C22/100</f>
        <v>14.1</v>
      </c>
      <c r="G22" s="55">
        <f>60*C22/100</f>
        <v>180</v>
      </c>
      <c r="H22" s="9">
        <v>300</v>
      </c>
      <c r="I22" s="69">
        <v>300</v>
      </c>
      <c r="J22" s="63">
        <f>2.9*I22/100</f>
        <v>8.7</v>
      </c>
      <c r="K22" s="10">
        <f>3.2*I22/100</f>
        <v>9.6</v>
      </c>
      <c r="L22" s="10">
        <f>4.7*I22/100</f>
        <v>14.1</v>
      </c>
      <c r="M22" s="55">
        <f>60*I22/100</f>
        <v>180</v>
      </c>
    </row>
    <row r="23" spans="1:13" s="6" customFormat="1" ht="13.5" customHeight="1">
      <c r="A23" s="57" t="s">
        <v>63</v>
      </c>
      <c r="B23" s="9">
        <v>150</v>
      </c>
      <c r="C23" s="69">
        <v>150</v>
      </c>
      <c r="D23" s="63">
        <f>2.7*C23/100</f>
        <v>4.05</v>
      </c>
      <c r="E23" s="10">
        <f>2.5*D23/100</f>
        <v>0.10125</v>
      </c>
      <c r="F23" s="10">
        <f>10.8*C23/100</f>
        <v>16.2</v>
      </c>
      <c r="G23" s="55">
        <f>79*C23/100</f>
        <v>118.5</v>
      </c>
      <c r="H23" s="9">
        <v>180</v>
      </c>
      <c r="I23" s="69">
        <v>180</v>
      </c>
      <c r="J23" s="63">
        <f>2.7*I23/100</f>
        <v>4.86</v>
      </c>
      <c r="K23" s="10">
        <f>2.5*J23/100</f>
        <v>0.1215</v>
      </c>
      <c r="L23" s="10">
        <f>10.8*I23/100</f>
        <v>19.44</v>
      </c>
      <c r="M23" s="55">
        <f>79*I23/100</f>
        <v>142.2</v>
      </c>
    </row>
    <row r="24" spans="1:13" s="6" customFormat="1" ht="13.5" customHeight="1">
      <c r="A24" s="57" t="s">
        <v>67</v>
      </c>
      <c r="B24" s="9">
        <v>150</v>
      </c>
      <c r="C24" s="69">
        <v>150</v>
      </c>
      <c r="D24" s="63">
        <f>2.9*C24/100</f>
        <v>4.35</v>
      </c>
      <c r="E24" s="10">
        <f>3.2*C24/100</f>
        <v>4.8</v>
      </c>
      <c r="F24" s="10">
        <f>4*C24/100</f>
        <v>6</v>
      </c>
      <c r="G24" s="55">
        <f>59*C24/100</f>
        <v>88.5</v>
      </c>
      <c r="H24" s="9">
        <v>180</v>
      </c>
      <c r="I24" s="69">
        <v>180</v>
      </c>
      <c r="J24" s="63">
        <f>2.9*I24/100</f>
        <v>5.22</v>
      </c>
      <c r="K24" s="10">
        <f>3.2*I24/100</f>
        <v>5.76</v>
      </c>
      <c r="L24" s="10">
        <f>4*I24/100</f>
        <v>7.2</v>
      </c>
      <c r="M24" s="55">
        <f>59*I24/100</f>
        <v>106.2</v>
      </c>
    </row>
    <row r="25" spans="1:13" s="6" customFormat="1" ht="13.5" customHeight="1">
      <c r="A25" s="57" t="s">
        <v>55</v>
      </c>
      <c r="B25" s="9">
        <v>50</v>
      </c>
      <c r="C25" s="69">
        <v>50</v>
      </c>
      <c r="D25" s="63">
        <f>18*C25/100</f>
        <v>9</v>
      </c>
      <c r="E25" s="10">
        <f>9*C25/100</f>
        <v>4.5</v>
      </c>
      <c r="F25" s="10">
        <f>3*C25/100</f>
        <v>1.5</v>
      </c>
      <c r="G25" s="55">
        <f>169*C25/100</f>
        <v>84.5</v>
      </c>
      <c r="H25" s="9">
        <v>60</v>
      </c>
      <c r="I25" s="69">
        <v>60</v>
      </c>
      <c r="J25" s="63">
        <f>18*I25/100</f>
        <v>10.8</v>
      </c>
      <c r="K25" s="10">
        <f>9*I25/100</f>
        <v>5.4</v>
      </c>
      <c r="L25" s="10">
        <f>3*I25/100</f>
        <v>1.8</v>
      </c>
      <c r="M25" s="55">
        <f>169*I25/100</f>
        <v>101.4</v>
      </c>
    </row>
    <row r="26" spans="1:13" s="6" customFormat="1" ht="13.5" customHeight="1">
      <c r="A26" s="57" t="s">
        <v>16</v>
      </c>
      <c r="B26" s="9">
        <v>10</v>
      </c>
      <c r="C26" s="69">
        <v>9.8</v>
      </c>
      <c r="D26" s="63">
        <f>26.3*C26/100</f>
        <v>2.5774</v>
      </c>
      <c r="E26" s="10">
        <f>26.6*C26/100</f>
        <v>2.6068000000000002</v>
      </c>
      <c r="F26" s="10">
        <f>0*C26/100</f>
        <v>0</v>
      </c>
      <c r="G26" s="55">
        <f>350*C26/100</f>
        <v>34.300000000000004</v>
      </c>
      <c r="H26" s="9">
        <v>12</v>
      </c>
      <c r="I26" s="69">
        <v>11.8</v>
      </c>
      <c r="J26" s="63">
        <f>26.3*I26/100</f>
        <v>3.1034</v>
      </c>
      <c r="K26" s="10">
        <f>26.6*I26/100</f>
        <v>3.1388000000000007</v>
      </c>
      <c r="L26" s="10">
        <f>0*I26/100</f>
        <v>0</v>
      </c>
      <c r="M26" s="55">
        <f>350*I26/100</f>
        <v>41.3</v>
      </c>
    </row>
    <row r="27" spans="1:13" s="6" customFormat="1" ht="13.5" customHeight="1">
      <c r="A27" s="57" t="s">
        <v>54</v>
      </c>
      <c r="B27" s="9">
        <v>10</v>
      </c>
      <c r="C27" s="69">
        <v>10</v>
      </c>
      <c r="D27" s="63">
        <f>2.6*C27/100</f>
        <v>0.26</v>
      </c>
      <c r="E27" s="10">
        <f>15*C27/100</f>
        <v>1.5</v>
      </c>
      <c r="F27" s="10">
        <f>3.6*C27/100</f>
        <v>0.36</v>
      </c>
      <c r="G27" s="55">
        <f>162*C27/100</f>
        <v>16.2</v>
      </c>
      <c r="H27" s="9">
        <v>10</v>
      </c>
      <c r="I27" s="69">
        <v>10</v>
      </c>
      <c r="J27" s="63">
        <f>2.6*I27/100</f>
        <v>0.26</v>
      </c>
      <c r="K27" s="10">
        <f>15*I27/100</f>
        <v>1.5</v>
      </c>
      <c r="L27" s="10">
        <f>3.6*I27/100</f>
        <v>0.36</v>
      </c>
      <c r="M27" s="55">
        <f>162*I27/100</f>
        <v>16.2</v>
      </c>
    </row>
    <row r="28" spans="1:13" s="6" customFormat="1" ht="13.5" customHeight="1">
      <c r="A28" s="57" t="s">
        <v>12</v>
      </c>
      <c r="B28" s="9">
        <v>30</v>
      </c>
      <c r="C28" s="69">
        <v>30</v>
      </c>
      <c r="D28" s="63">
        <f>0.5*C28/100</f>
        <v>0.15</v>
      </c>
      <c r="E28" s="10">
        <f>82.5*C28/100</f>
        <v>24.75</v>
      </c>
      <c r="F28" s="10">
        <f>0.8*C28/100</f>
        <v>0.24</v>
      </c>
      <c r="G28" s="55">
        <f>748*C28/100</f>
        <v>224.4</v>
      </c>
      <c r="H28" s="9">
        <v>35</v>
      </c>
      <c r="I28" s="69">
        <v>35</v>
      </c>
      <c r="J28" s="63">
        <f>0.5*I28/100</f>
        <v>0.175</v>
      </c>
      <c r="K28" s="10">
        <f>82.5*I28/100</f>
        <v>28.875</v>
      </c>
      <c r="L28" s="10">
        <f>0.8*I28/100</f>
        <v>0.28</v>
      </c>
      <c r="M28" s="55">
        <f>748*I28/100</f>
        <v>261.8</v>
      </c>
    </row>
    <row r="29" spans="1:13" s="6" customFormat="1" ht="13.5" customHeight="1">
      <c r="A29" s="57" t="s">
        <v>13</v>
      </c>
      <c r="B29" s="9">
        <v>15</v>
      </c>
      <c r="C29" s="69">
        <v>15</v>
      </c>
      <c r="D29" s="63">
        <f>0*C29/100</f>
        <v>0</v>
      </c>
      <c r="E29" s="10">
        <f>99.9*C29/100</f>
        <v>14.985</v>
      </c>
      <c r="F29" s="10">
        <f>0*C29/100</f>
        <v>0</v>
      </c>
      <c r="G29" s="55">
        <f>899*C29/100</f>
        <v>134.85</v>
      </c>
      <c r="H29" s="9">
        <v>18</v>
      </c>
      <c r="I29" s="69">
        <v>18</v>
      </c>
      <c r="J29" s="63">
        <f>0*I29/100</f>
        <v>0</v>
      </c>
      <c r="K29" s="10">
        <f>99.9*I29/100</f>
        <v>17.982</v>
      </c>
      <c r="L29" s="10">
        <f>0*I29/100</f>
        <v>0</v>
      </c>
      <c r="M29" s="55">
        <f>899*I29/100</f>
        <v>161.82</v>
      </c>
    </row>
    <row r="30" spans="1:13" s="6" customFormat="1" ht="13.5" customHeight="1">
      <c r="A30" s="57" t="s">
        <v>45</v>
      </c>
      <c r="B30" s="9">
        <v>1</v>
      </c>
      <c r="C30" s="69">
        <v>40</v>
      </c>
      <c r="D30" s="63">
        <f>12.7*C30/100</f>
        <v>5.08</v>
      </c>
      <c r="E30" s="10">
        <f>11.5*C30/100</f>
        <v>4.6</v>
      </c>
      <c r="F30" s="10">
        <f>0.7*C30/100</f>
        <v>0.28</v>
      </c>
      <c r="G30" s="55">
        <f>157*C30/100</f>
        <v>62.8</v>
      </c>
      <c r="H30" s="9">
        <v>1</v>
      </c>
      <c r="I30" s="69">
        <v>40</v>
      </c>
      <c r="J30" s="63">
        <f>12.7*I30/100</f>
        <v>5.08</v>
      </c>
      <c r="K30" s="10">
        <f>11.5*I30/100</f>
        <v>4.6</v>
      </c>
      <c r="L30" s="10">
        <f>0.7*I30/100</f>
        <v>0.28</v>
      </c>
      <c r="M30" s="55">
        <f>157*I30/100</f>
        <v>62.8</v>
      </c>
    </row>
    <row r="31" spans="1:13" s="6" customFormat="1" ht="13.5" customHeight="1">
      <c r="A31" s="57" t="s">
        <v>11</v>
      </c>
      <c r="B31" s="9">
        <v>40</v>
      </c>
      <c r="C31" s="69">
        <v>40</v>
      </c>
      <c r="D31" s="63">
        <f>0*C31/100</f>
        <v>0</v>
      </c>
      <c r="E31" s="10">
        <f>0*C31/100</f>
        <v>0</v>
      </c>
      <c r="F31" s="10">
        <f>99.8*C31/100</f>
        <v>39.92</v>
      </c>
      <c r="G31" s="55">
        <f>399*C31/100</f>
        <v>159.6</v>
      </c>
      <c r="H31" s="9">
        <v>45</v>
      </c>
      <c r="I31" s="69">
        <v>45</v>
      </c>
      <c r="J31" s="63">
        <f>0*I31/100</f>
        <v>0</v>
      </c>
      <c r="K31" s="10">
        <f>0*I31/100</f>
        <v>0</v>
      </c>
      <c r="L31" s="10">
        <f>99.8*I31/100</f>
        <v>44.91</v>
      </c>
      <c r="M31" s="55">
        <f>399*I31/100</f>
        <v>179.55</v>
      </c>
    </row>
    <row r="32" spans="1:13" s="6" customFormat="1" ht="13.5" customHeight="1">
      <c r="A32" s="57" t="s">
        <v>10</v>
      </c>
      <c r="B32" s="9">
        <v>10</v>
      </c>
      <c r="C32" s="69">
        <v>10</v>
      </c>
      <c r="D32" s="63">
        <f>(0.1+0.1+1.5+3.9+10.7+6.4+5.9)*C32/700</f>
        <v>0.4085714285714285</v>
      </c>
      <c r="E32" s="10">
        <f>(0.1+0+7.2+30.6+1.2+16.8+4.7)*C32/700</f>
        <v>0.8657142857142859</v>
      </c>
      <c r="F32" s="10">
        <f>(92.4+79.4+81.8+62.5+71.2+68.5+75)*C32/700</f>
        <v>7.582857142857143</v>
      </c>
      <c r="G32" s="55">
        <f>(371+321+399+542+339+451+366)*C32/700</f>
        <v>39.84285714285714</v>
      </c>
      <c r="H32" s="9">
        <v>15</v>
      </c>
      <c r="I32" s="69">
        <v>15</v>
      </c>
      <c r="J32" s="63">
        <f>(0.1+0.1+1.5+3.9+10.7+6.4+5.9)*I32/700</f>
        <v>0.6128571428571427</v>
      </c>
      <c r="K32" s="10">
        <f>(0.1+0+7.2+30.6+1.2+16.8+4.7)*I32/700</f>
        <v>1.2985714285714287</v>
      </c>
      <c r="L32" s="10">
        <f>(92.4+79.4+81.8+62.5+71.2+68.5+75)*I32/700</f>
        <v>11.374285714285714</v>
      </c>
      <c r="M32" s="55">
        <f>(371+321+399+542+339+451+366)*I32/700</f>
        <v>59.76428571428571</v>
      </c>
    </row>
    <row r="33" spans="1:13" ht="13.5" customHeight="1">
      <c r="A33" s="57" t="s">
        <v>17</v>
      </c>
      <c r="B33" s="8">
        <v>0.4</v>
      </c>
      <c r="C33" s="69">
        <v>0.4</v>
      </c>
      <c r="D33" s="63">
        <f>0.1*C33/100</f>
        <v>0.0004000000000000001</v>
      </c>
      <c r="E33" s="10">
        <f>0*C33/100</f>
        <v>0</v>
      </c>
      <c r="F33" s="10">
        <f>0*C33/100</f>
        <v>0</v>
      </c>
      <c r="G33" s="55">
        <f>0*C33/100</f>
        <v>0</v>
      </c>
      <c r="H33" s="9">
        <v>0.4</v>
      </c>
      <c r="I33" s="69">
        <v>0.4</v>
      </c>
      <c r="J33" s="63">
        <f>0.1*I33/100</f>
        <v>0.0004000000000000001</v>
      </c>
      <c r="K33" s="10">
        <f>0*I33/100</f>
        <v>0</v>
      </c>
      <c r="L33" s="10">
        <f>0*I33/100</f>
        <v>0</v>
      </c>
      <c r="M33" s="55">
        <f>0*I33/100</f>
        <v>0</v>
      </c>
    </row>
    <row r="34" spans="1:13" ht="13.5" customHeight="1">
      <c r="A34" s="57" t="s">
        <v>26</v>
      </c>
      <c r="B34" s="8">
        <v>1.2</v>
      </c>
      <c r="C34" s="69">
        <v>1.2</v>
      </c>
      <c r="D34" s="63">
        <f>24.3*C34/100</f>
        <v>0.2916</v>
      </c>
      <c r="E34" s="10">
        <f>15*C34/100</f>
        <v>0.18</v>
      </c>
      <c r="F34" s="10">
        <f>10.2*C34/100</f>
        <v>0.12239999999999998</v>
      </c>
      <c r="G34" s="55">
        <f>289*C34/100</f>
        <v>3.468</v>
      </c>
      <c r="H34" s="9">
        <v>1.2</v>
      </c>
      <c r="I34" s="69">
        <v>1.2</v>
      </c>
      <c r="J34" s="63">
        <f>24.3*I34/100</f>
        <v>0.2916</v>
      </c>
      <c r="K34" s="10">
        <f>15*I34/100</f>
        <v>0.18</v>
      </c>
      <c r="L34" s="10">
        <f>10.2*I34/100</f>
        <v>0.12239999999999998</v>
      </c>
      <c r="M34" s="55">
        <f>289*I34/100</f>
        <v>3.468</v>
      </c>
    </row>
    <row r="35" spans="1:13" s="6" customFormat="1" ht="13.5" customHeight="1">
      <c r="A35" s="58" t="s">
        <v>46</v>
      </c>
      <c r="B35" s="51">
        <v>1</v>
      </c>
      <c r="C35" s="70">
        <v>1</v>
      </c>
      <c r="D35" s="65">
        <f>12.7*C35/100</f>
        <v>0.127</v>
      </c>
      <c r="E35" s="50">
        <f>2.7*C35/100</f>
        <v>0.027000000000000003</v>
      </c>
      <c r="F35" s="50">
        <f>8.5*C35/100</f>
        <v>0.085</v>
      </c>
      <c r="G35" s="61">
        <f>109*C35/100</f>
        <v>1.09</v>
      </c>
      <c r="H35" s="51">
        <v>2</v>
      </c>
      <c r="I35" s="70">
        <v>2</v>
      </c>
      <c r="J35" s="65">
        <f>12.7*I35/100</f>
        <v>0.254</v>
      </c>
      <c r="K35" s="50">
        <f>2.7*I35/100</f>
        <v>0.054000000000000006</v>
      </c>
      <c r="L35" s="50">
        <f>8.5*I35/100</f>
        <v>0.17</v>
      </c>
      <c r="M35" s="61">
        <f>109*I35/100</f>
        <v>2.18</v>
      </c>
    </row>
    <row r="36" spans="1:13" s="6" customFormat="1" ht="13.5" customHeight="1" thickBot="1">
      <c r="A36" s="21" t="s">
        <v>18</v>
      </c>
      <c r="B36" s="53">
        <v>5</v>
      </c>
      <c r="C36" s="71">
        <v>5</v>
      </c>
      <c r="D36" s="66">
        <v>0</v>
      </c>
      <c r="E36" s="52">
        <v>0</v>
      </c>
      <c r="F36" s="52">
        <v>0</v>
      </c>
      <c r="G36" s="56">
        <v>0</v>
      </c>
      <c r="H36" s="53">
        <v>7</v>
      </c>
      <c r="I36" s="71">
        <v>7</v>
      </c>
      <c r="J36" s="66">
        <v>0</v>
      </c>
      <c r="K36" s="52">
        <v>0</v>
      </c>
      <c r="L36" s="52">
        <v>0</v>
      </c>
      <c r="M36" s="56">
        <v>0</v>
      </c>
    </row>
    <row r="37" spans="1:13" ht="12.75" customHeight="1" thickBot="1">
      <c r="A37" s="141" t="s">
        <v>24</v>
      </c>
      <c r="B37" s="142"/>
      <c r="C37" s="142"/>
      <c r="D37" s="142"/>
      <c r="E37" s="142"/>
      <c r="F37" s="142"/>
      <c r="G37" s="142"/>
      <c r="H37" s="142"/>
      <c r="I37" s="44"/>
      <c r="J37" s="45"/>
      <c r="K37" s="1"/>
      <c r="L37" s="1"/>
      <c r="M37" s="1"/>
    </row>
    <row r="38" spans="1:13" ht="13.5" customHeight="1">
      <c r="A38" s="11" t="s">
        <v>20</v>
      </c>
      <c r="B38" s="36">
        <f>SUM(D5:D16,D19:D36,D43:D45)</f>
        <v>134.8052380952381</v>
      </c>
      <c r="C38" s="15" t="s">
        <v>35</v>
      </c>
      <c r="D38" s="15"/>
      <c r="E38" s="15"/>
      <c r="F38" s="43">
        <f>SUM(D15,D19:D20,D25:D28,D30,D43:D45)</f>
        <v>60.89649999999999</v>
      </c>
      <c r="G38" s="16" t="s">
        <v>32</v>
      </c>
      <c r="H38" s="36">
        <f>SUM(J5:J16,J19:J36,J43:J45)</f>
        <v>158.1332238095238</v>
      </c>
      <c r="I38" s="15" t="s">
        <v>35</v>
      </c>
      <c r="J38" s="15"/>
      <c r="K38" s="15"/>
      <c r="L38" s="43">
        <f>SUM(J15,J19:J20,J25:J28,J30,J43:J45)</f>
        <v>72.6587</v>
      </c>
      <c r="M38" s="16" t="s">
        <v>32</v>
      </c>
    </row>
    <row r="39" spans="1:13" ht="13.5" customHeight="1">
      <c r="A39" s="12" t="s">
        <v>21</v>
      </c>
      <c r="B39" s="46">
        <f>SUM(E5:E15,E19:E20,E25:E36,E43:E45)</f>
        <v>93.79487261904762</v>
      </c>
      <c r="C39" s="14" t="s">
        <v>36</v>
      </c>
      <c r="D39" s="14"/>
      <c r="E39" s="14"/>
      <c r="F39" s="47">
        <f>SUM(E5:E14,E29,E31:E36)</f>
        <v>22.093880952380953</v>
      </c>
      <c r="G39" s="17" t="s">
        <v>29</v>
      </c>
      <c r="H39" s="46">
        <f>SUM(K5:K15,K19:K20,K25:K36,K43:K45)</f>
        <v>110.69215476190476</v>
      </c>
      <c r="I39" s="14" t="s">
        <v>36</v>
      </c>
      <c r="J39" s="14"/>
      <c r="K39" s="14"/>
      <c r="L39" s="47">
        <f>SUM(K5:K14,K29,K31:K36)</f>
        <v>26.736571428571427</v>
      </c>
      <c r="M39" s="17" t="s">
        <v>29</v>
      </c>
    </row>
    <row r="40" spans="1:13" ht="13.5" customHeight="1">
      <c r="A40" s="12" t="s">
        <v>22</v>
      </c>
      <c r="B40" s="46">
        <f>SUM(F5:F15,F19:F20,F25:F36,F43:F45)</f>
        <v>337.9302571428572</v>
      </c>
      <c r="C40" s="14" t="s">
        <v>29</v>
      </c>
      <c r="D40" s="14"/>
      <c r="E40" s="14"/>
      <c r="F40" s="14"/>
      <c r="G40" s="17"/>
      <c r="H40" s="46">
        <f>SUM(L5:L15,L19:L20,L25:L36,L43:L45)</f>
        <v>407.3153523809524</v>
      </c>
      <c r="I40" s="14" t="s">
        <v>29</v>
      </c>
      <c r="J40" s="14"/>
      <c r="K40" s="14"/>
      <c r="L40" s="14"/>
      <c r="M40" s="17"/>
    </row>
    <row r="41" spans="1:13" ht="13.5" customHeight="1" thickBot="1">
      <c r="A41" s="21" t="s">
        <v>23</v>
      </c>
      <c r="B41" s="108">
        <f>SUM(G5:G15,G19:G20,G25:G36,G43:G45)</f>
        <v>2625.254023809524</v>
      </c>
      <c r="C41" s="22" t="s">
        <v>30</v>
      </c>
      <c r="D41" s="22"/>
      <c r="E41" s="22"/>
      <c r="F41" s="22"/>
      <c r="G41" s="23"/>
      <c r="H41" s="108">
        <f>SUM(M5:M15,M19:M20,M25:M36,M43:M45)</f>
        <v>3142.5426190476187</v>
      </c>
      <c r="I41" s="22" t="s">
        <v>30</v>
      </c>
      <c r="J41" s="22"/>
      <c r="K41" s="22"/>
      <c r="L41" s="22"/>
      <c r="M41" s="23"/>
    </row>
    <row r="42" spans="1:4" ht="14.25">
      <c r="A42" s="5"/>
      <c r="B42" s="1"/>
      <c r="C42" s="1"/>
      <c r="D42" s="1"/>
    </row>
    <row r="43" spans="1:13" ht="14.25" hidden="1">
      <c r="A43" s="5" t="s">
        <v>61</v>
      </c>
      <c r="C43" s="1"/>
      <c r="D43" s="107">
        <f>AVERAGE(D17,D18)</f>
        <v>6.4575</v>
      </c>
      <c r="E43" s="107">
        <f>AVERAGE(E17,E18)</f>
        <v>6.0375</v>
      </c>
      <c r="F43" s="107">
        <f>AVERAGE(F17,F18)</f>
        <v>0</v>
      </c>
      <c r="G43" s="107">
        <f>AVERAGE(G17,G18)</f>
        <v>80.15</v>
      </c>
      <c r="J43" s="107">
        <f>AVERAGE(J17,J18)</f>
        <v>9.7785</v>
      </c>
      <c r="K43" s="107">
        <f>AVERAGE(K17,K18)</f>
        <v>9.1425</v>
      </c>
      <c r="L43" s="107">
        <f>AVERAGE(L17,L18)</f>
        <v>0</v>
      </c>
      <c r="M43" s="107">
        <f>AVERAGE(M17,M18)</f>
        <v>121.37</v>
      </c>
    </row>
    <row r="44" spans="1:13" ht="14.25" hidden="1">
      <c r="A44" s="5" t="s">
        <v>64</v>
      </c>
      <c r="B44" s="1"/>
      <c r="C44" s="1"/>
      <c r="D44" s="107">
        <f>AVERAGE(D21,D22)</f>
        <v>8.7</v>
      </c>
      <c r="E44" s="107">
        <f aca="true" t="shared" si="0" ref="E44:M44">AVERAGE(E21,E22)</f>
        <v>8.55</v>
      </c>
      <c r="F44" s="107">
        <f t="shared" si="0"/>
        <v>14.25</v>
      </c>
      <c r="G44" s="107">
        <f t="shared" si="0"/>
        <v>171</v>
      </c>
      <c r="H44" s="107"/>
      <c r="I44" s="107"/>
      <c r="J44" s="107">
        <f t="shared" si="0"/>
        <v>8.7</v>
      </c>
      <c r="K44" s="107">
        <f t="shared" si="0"/>
        <v>8.55</v>
      </c>
      <c r="L44" s="107">
        <f t="shared" si="0"/>
        <v>14.25</v>
      </c>
      <c r="M44" s="107">
        <f t="shared" si="0"/>
        <v>171</v>
      </c>
    </row>
    <row r="45" spans="1:13" ht="14.25" hidden="1">
      <c r="A45" s="5" t="s">
        <v>65</v>
      </c>
      <c r="B45" s="1"/>
      <c r="C45" s="1"/>
      <c r="D45" s="107">
        <f>AVERAGE(D23,D24)</f>
        <v>4.199999999999999</v>
      </c>
      <c r="E45" s="107">
        <f aca="true" t="shared" si="1" ref="E45:M45">AVERAGE(E23,E24)</f>
        <v>2.450625</v>
      </c>
      <c r="F45" s="107">
        <f t="shared" si="1"/>
        <v>11.1</v>
      </c>
      <c r="G45" s="107">
        <f t="shared" si="1"/>
        <v>103.5</v>
      </c>
      <c r="H45" s="107"/>
      <c r="I45" s="107"/>
      <c r="J45" s="107">
        <f t="shared" si="1"/>
        <v>5.04</v>
      </c>
      <c r="K45" s="107">
        <f t="shared" si="1"/>
        <v>2.94075</v>
      </c>
      <c r="L45" s="107">
        <f t="shared" si="1"/>
        <v>13.32</v>
      </c>
      <c r="M45" s="107">
        <f t="shared" si="1"/>
        <v>124.19999999999999</v>
      </c>
    </row>
    <row r="46" spans="1:4" ht="14.25">
      <c r="A46" s="5"/>
      <c r="B46" s="1"/>
      <c r="C46" s="1"/>
      <c r="D46" s="1"/>
    </row>
    <row r="47" spans="1:4" ht="14.25">
      <c r="A47" s="5"/>
      <c r="B47" s="1"/>
      <c r="C47" s="1"/>
      <c r="D47" s="1"/>
    </row>
    <row r="48" spans="1:4" ht="14.25">
      <c r="A48" s="5"/>
      <c r="B48" s="1"/>
      <c r="C48" s="1"/>
      <c r="D48" s="1"/>
    </row>
    <row r="49" spans="1:4" ht="14.25">
      <c r="A49" s="5"/>
      <c r="B49" s="1"/>
      <c r="C49" s="1"/>
      <c r="D49" s="1"/>
    </row>
    <row r="50" spans="1:4" ht="14.25">
      <c r="A50" s="5"/>
      <c r="B50" s="1"/>
      <c r="C50" s="1"/>
      <c r="D50" s="1"/>
    </row>
    <row r="51" spans="1:4" ht="14.25">
      <c r="A51" s="5"/>
      <c r="B51" s="1"/>
      <c r="C51" s="1"/>
      <c r="D51" s="1"/>
    </row>
    <row r="52" spans="1:4" ht="14.25">
      <c r="A52" s="5"/>
      <c r="B52" s="1"/>
      <c r="C52" s="1"/>
      <c r="D52" s="1"/>
    </row>
    <row r="53" spans="1:4" ht="14.25">
      <c r="A53" s="5"/>
      <c r="B53" s="1"/>
      <c r="C53" s="1"/>
      <c r="D53" s="1"/>
    </row>
    <row r="54" spans="1:4" ht="14.25">
      <c r="A54" s="5"/>
      <c r="B54" s="1"/>
      <c r="C54" s="1"/>
      <c r="D54" s="1"/>
    </row>
    <row r="55" spans="1:4" ht="14.25">
      <c r="A55" s="5"/>
      <c r="B55" s="1"/>
      <c r="C55" s="1"/>
      <c r="D55" s="1"/>
    </row>
    <row r="56" spans="1:4" ht="14.25">
      <c r="A56" s="5"/>
      <c r="B56" s="1"/>
      <c r="C56" s="1"/>
      <c r="D56" s="1"/>
    </row>
    <row r="57" spans="1:4" ht="14.25">
      <c r="A57" s="5"/>
      <c r="B57" s="1"/>
      <c r="C57" s="1"/>
      <c r="D57" s="1"/>
    </row>
    <row r="58" spans="1:4" ht="14.25">
      <c r="A58" s="5"/>
      <c r="B58" s="1"/>
      <c r="C58" s="1"/>
      <c r="D58" s="1"/>
    </row>
    <row r="59" spans="1:4" ht="14.25">
      <c r="A59" s="5"/>
      <c r="B59" s="1"/>
      <c r="C59" s="1"/>
      <c r="D59" s="1"/>
    </row>
    <row r="60" spans="1:4" ht="14.25">
      <c r="A60" s="5"/>
      <c r="B60" s="1"/>
      <c r="C60" s="1"/>
      <c r="D60" s="1"/>
    </row>
    <row r="61" spans="1:4" ht="14.25">
      <c r="A61" s="5"/>
      <c r="B61" s="1"/>
      <c r="C61" s="1"/>
      <c r="D61" s="1"/>
    </row>
    <row r="62" spans="1:4" ht="14.25">
      <c r="A62" s="5"/>
      <c r="B62" s="1"/>
      <c r="C62" s="1"/>
      <c r="D62" s="1"/>
    </row>
    <row r="63" spans="1:4" ht="14.25">
      <c r="A63" s="5"/>
      <c r="B63" s="1"/>
      <c r="C63" s="1"/>
      <c r="D63" s="1"/>
    </row>
    <row r="64" spans="1:4" ht="14.25">
      <c r="A64" s="5"/>
      <c r="B64" s="1"/>
      <c r="C64" s="1"/>
      <c r="D64" s="1"/>
    </row>
    <row r="65" spans="1:4" ht="14.25">
      <c r="A65" s="5"/>
      <c r="B65" s="1"/>
      <c r="C65" s="1"/>
      <c r="D65" s="1"/>
    </row>
    <row r="66" spans="1:4" ht="14.25">
      <c r="A66" s="5"/>
      <c r="B66" s="1"/>
      <c r="C66" s="1"/>
      <c r="D66" s="1"/>
    </row>
    <row r="67" spans="1:4" ht="14.25">
      <c r="A67" s="5"/>
      <c r="B67" s="1"/>
      <c r="C67" s="1"/>
      <c r="D67" s="1"/>
    </row>
    <row r="68" spans="1:4" ht="14.25">
      <c r="A68" s="5"/>
      <c r="B68" s="1"/>
      <c r="C68" s="1"/>
      <c r="D68" s="1"/>
    </row>
    <row r="69" spans="1:4" ht="14.25">
      <c r="A69" s="5"/>
      <c r="B69" s="1"/>
      <c r="C69" s="1"/>
      <c r="D69" s="1"/>
    </row>
    <row r="70" spans="1:4" ht="14.25">
      <c r="A70" s="5"/>
      <c r="B70" s="1"/>
      <c r="C70" s="1"/>
      <c r="D70" s="1"/>
    </row>
    <row r="71" spans="1:4" ht="12.75">
      <c r="A71" s="4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</sheetData>
  <sheetProtection password="CA75" sheet="1"/>
  <mergeCells count="6">
    <mergeCell ref="A37:H37"/>
    <mergeCell ref="A3:A4"/>
    <mergeCell ref="B3:G3"/>
    <mergeCell ref="H3:M3"/>
    <mergeCell ref="A1:M1"/>
    <mergeCell ref="A2:M2"/>
  </mergeCells>
  <printOptions/>
  <pageMargins left="0.3937007874015748" right="0.3937007874015748" top="0.23" bottom="0.16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="84" zoomScaleNormal="84" zoomScalePageLayoutView="0" workbookViewId="0" topLeftCell="A1">
      <pane xSplit="1" ySplit="3" topLeftCell="B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B26" sqref="B26"/>
    </sheetView>
  </sheetViews>
  <sheetFormatPr defaultColWidth="9.140625" defaultRowHeight="12.75"/>
  <cols>
    <col min="1" max="1" width="25.00390625" style="26" customWidth="1"/>
    <col min="2" max="2" width="7.421875" style="26" customWidth="1"/>
    <col min="3" max="3" width="7.140625" style="26" customWidth="1"/>
    <col min="4" max="4" width="7.57421875" style="26" customWidth="1"/>
    <col min="5" max="5" width="7.140625" style="26" customWidth="1"/>
    <col min="6" max="6" width="7.00390625" style="26" customWidth="1"/>
    <col min="7" max="7" width="10.140625" style="26" customWidth="1"/>
    <col min="8" max="8" width="13.5742187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3.421875" style="26" customWidth="1"/>
    <col min="16" max="16384" width="9.140625" style="26" customWidth="1"/>
  </cols>
  <sheetData>
    <row r="1" spans="1:15" s="24" customFormat="1" ht="15.75" customHeight="1" thickBot="1">
      <c r="A1" s="37" t="s">
        <v>76</v>
      </c>
      <c r="B1" s="153" t="s">
        <v>73</v>
      </c>
      <c r="C1" s="154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  <row r="2" spans="1:15" s="24" customFormat="1" ht="15" customHeight="1">
      <c r="A2" s="157" t="s">
        <v>0</v>
      </c>
      <c r="B2" s="163" t="s">
        <v>48</v>
      </c>
      <c r="C2" s="164"/>
      <c r="D2" s="164"/>
      <c r="E2" s="164"/>
      <c r="F2" s="164"/>
      <c r="G2" s="164"/>
      <c r="H2" s="165"/>
      <c r="I2" s="159" t="s">
        <v>49</v>
      </c>
      <c r="J2" s="160"/>
      <c r="K2" s="161"/>
      <c r="L2" s="161"/>
      <c r="M2" s="161"/>
      <c r="N2" s="161"/>
      <c r="O2" s="162"/>
    </row>
    <row r="3" spans="1:15" s="25" customFormat="1" ht="30" customHeight="1" thickBot="1">
      <c r="A3" s="158"/>
      <c r="B3" s="73" t="s">
        <v>31</v>
      </c>
      <c r="C3" s="112" t="s">
        <v>47</v>
      </c>
      <c r="D3" s="74" t="s">
        <v>28</v>
      </c>
      <c r="E3" s="74" t="s">
        <v>1</v>
      </c>
      <c r="F3" s="74" t="s">
        <v>2</v>
      </c>
      <c r="G3" s="74" t="s">
        <v>3</v>
      </c>
      <c r="H3" s="113" t="s">
        <v>4</v>
      </c>
      <c r="I3" s="73" t="s">
        <v>31</v>
      </c>
      <c r="J3" s="112" t="s">
        <v>47</v>
      </c>
      <c r="K3" s="74" t="s">
        <v>28</v>
      </c>
      <c r="L3" s="74" t="s">
        <v>1</v>
      </c>
      <c r="M3" s="74" t="s">
        <v>2</v>
      </c>
      <c r="N3" s="74" t="s">
        <v>3</v>
      </c>
      <c r="O3" s="113" t="s">
        <v>4</v>
      </c>
    </row>
    <row r="4" spans="1:15" ht="15" customHeight="1">
      <c r="A4" s="94" t="s">
        <v>6</v>
      </c>
      <c r="B4" s="104"/>
      <c r="C4" s="130">
        <f>B4</f>
        <v>0</v>
      </c>
      <c r="D4" s="126">
        <f>B4*100/'Нормы по школам-интернатам'!C5</f>
        <v>0</v>
      </c>
      <c r="E4" s="75">
        <f>B4*'Нормы по школам-интернатам'!D5/'Нормы по школам-интернатам'!B5</f>
        <v>0</v>
      </c>
      <c r="F4" s="75">
        <f>B4*'Нормы по школам-интернатам'!E5/'Нормы по школам-интернатам'!B5</f>
        <v>0</v>
      </c>
      <c r="G4" s="75">
        <f>B4*'Нормы по школам-интернатам'!F5/'Нормы по школам-интернатам'!B5</f>
        <v>0</v>
      </c>
      <c r="H4" s="76">
        <f>B4*'Нормы по школам-интернатам'!G5/'Нормы по школам-интернатам'!B5</f>
        <v>0</v>
      </c>
      <c r="I4" s="104"/>
      <c r="J4" s="130">
        <f>I4</f>
        <v>0</v>
      </c>
      <c r="K4" s="126">
        <f>I4*100/'Нормы по школам-интернатам'!I5</f>
        <v>0</v>
      </c>
      <c r="L4" s="77">
        <f>I4*'Нормы по школам-интернатам'!J5/'Нормы по школам-интернатам'!H5</f>
        <v>0</v>
      </c>
      <c r="M4" s="77">
        <f>I4*'Нормы по школам-интернатам'!K5/'Нормы по школам-интернатам'!H5</f>
        <v>0</v>
      </c>
      <c r="N4" s="77">
        <f>I4*'Нормы по школам-интернатам'!L5/'Нормы по школам-интернатам'!H5</f>
        <v>0</v>
      </c>
      <c r="O4" s="78">
        <f>I4*'Нормы по школам-интернатам'!M5/'Нормы по школам-интернатам'!H5</f>
        <v>0</v>
      </c>
    </row>
    <row r="5" spans="1:15" ht="15" customHeight="1">
      <c r="A5" s="95" t="s">
        <v>5</v>
      </c>
      <c r="B5" s="105">
        <v>59</v>
      </c>
      <c r="C5" s="131">
        <f>B5</f>
        <v>59</v>
      </c>
      <c r="D5" s="125">
        <f>B5*100/'Нормы по школам-интернатам'!C6</f>
        <v>39.333333333333336</v>
      </c>
      <c r="E5" s="79">
        <f>B5*'Нормы по школам-интернатам'!D6/'Нормы по школам-интернатам'!B6</f>
        <v>4.484</v>
      </c>
      <c r="F5" s="79">
        <f>B5*'Нормы по школам-интернатам'!E6/'Нормы по школам-интернатам'!B6</f>
        <v>0.472</v>
      </c>
      <c r="G5" s="79">
        <f>B5*'Нормы по школам-интернатам'!F6/'Нормы по школам-интернатам'!B6</f>
        <v>29.028</v>
      </c>
      <c r="H5" s="80">
        <f>B5*'Нормы по школам-интернатам'!G6/'Нормы по школам-интернатам'!B6</f>
        <v>138.65</v>
      </c>
      <c r="I5" s="105">
        <v>58.4</v>
      </c>
      <c r="J5" s="131">
        <f>I5</f>
        <v>58.4</v>
      </c>
      <c r="K5" s="125">
        <f>I5*100/'Нормы по школам-интернатам'!I6</f>
        <v>29.2</v>
      </c>
      <c r="L5" s="81">
        <f>I5*'Нормы по школам-интернатам'!J6/'Нормы по школам-интернатам'!H6</f>
        <v>4.4384</v>
      </c>
      <c r="M5" s="81">
        <f>I5*'Нормы по школам-интернатам'!K6/'Нормы по школам-интернатам'!H6</f>
        <v>0.4672</v>
      </c>
      <c r="N5" s="81">
        <f>I5*'Нормы по школам-интернатам'!L6/'Нормы по школам-интернатам'!H6</f>
        <v>28.7328</v>
      </c>
      <c r="O5" s="82">
        <f>I5*'Нормы по школам-интернатам'!M6/'Нормы по школам-интернатам'!H6</f>
        <v>137.24</v>
      </c>
    </row>
    <row r="6" spans="1:15" ht="15" customHeight="1">
      <c r="A6" s="95" t="s">
        <v>7</v>
      </c>
      <c r="B6" s="105">
        <v>1.7</v>
      </c>
      <c r="C6" s="131">
        <f aca="true" t="shared" si="0" ref="C6:C34">B6</f>
        <v>1.7</v>
      </c>
      <c r="D6" s="125">
        <f>B6*100/'Нормы по школам-интернатам'!C7</f>
        <v>11.333333333333334</v>
      </c>
      <c r="E6" s="79">
        <f>B6*'Нормы по школам-интернатам'!D7/'Нормы по школам-интернатам'!B7</f>
        <v>0.1836</v>
      </c>
      <c r="F6" s="79">
        <f>B6*'Нормы по школам-интернатам'!E7/'Нормы по школам-интернатам'!B7</f>
        <v>0.0221</v>
      </c>
      <c r="G6" s="79">
        <f>B6*'Нормы по школам-интернатам'!F7/'Нормы по школам-интернатам'!B7</f>
        <v>1.1882999999999997</v>
      </c>
      <c r="H6" s="80">
        <f>B6*'Нормы по школам-интернатам'!G7/'Нормы по школам-интернатам'!B7</f>
        <v>5.678</v>
      </c>
      <c r="I6" s="105">
        <v>1.5</v>
      </c>
      <c r="J6" s="131">
        <f aca="true" t="shared" si="1" ref="J6:J34">I6</f>
        <v>1.5</v>
      </c>
      <c r="K6" s="125">
        <f>I6*100/'Нормы по школам-интернатам'!I7</f>
        <v>7.5</v>
      </c>
      <c r="L6" s="81">
        <f>I6*'Нормы по школам-интернатам'!J7/'Нормы по школам-интернатам'!H7</f>
        <v>0.162</v>
      </c>
      <c r="M6" s="81">
        <f>I6*'Нормы по школам-интернатам'!K7/'Нормы по школам-интернатам'!H7</f>
        <v>0.0195</v>
      </c>
      <c r="N6" s="81">
        <f>I6*'Нормы по школам-интернатам'!L7/'Нормы по школам-интернатам'!H7</f>
        <v>1.0485</v>
      </c>
      <c r="O6" s="82">
        <f>I6*'Нормы по школам-интернатам'!M7/'Нормы по школам-интернатам'!H7</f>
        <v>5.01</v>
      </c>
    </row>
    <row r="7" spans="1:15" ht="15" customHeight="1">
      <c r="A7" s="95" t="s">
        <v>38</v>
      </c>
      <c r="B7" s="105">
        <v>14.1</v>
      </c>
      <c r="C7" s="131">
        <f t="shared" si="0"/>
        <v>14.1</v>
      </c>
      <c r="D7" s="125">
        <f>B7*100/'Нормы по школам-интернатам'!C8</f>
        <v>31.333333333333332</v>
      </c>
      <c r="E7" s="79">
        <f>B7*'Нормы по школам-интернатам'!D8/'Нормы по школам-интернатам'!B8</f>
        <v>1.52985</v>
      </c>
      <c r="F7" s="79">
        <f>B7*'Нормы по школам-интернатам'!E8/'Нормы по школам-интернатам'!B8</f>
        <v>0.48644999999999994</v>
      </c>
      <c r="G7" s="79">
        <f>B7*'Нормы по школам-интернатам'!F8/'Нормы по школам-интернатам'!B8</f>
        <v>9.143849999999997</v>
      </c>
      <c r="H7" s="80">
        <f>B7*'Нормы по школам-интернатам'!G8/'Нормы по школам-интернатам'!B8</f>
        <v>47.058749999999996</v>
      </c>
      <c r="I7" s="105">
        <v>33.1</v>
      </c>
      <c r="J7" s="131">
        <f t="shared" si="1"/>
        <v>33.1</v>
      </c>
      <c r="K7" s="125">
        <f>I7*100/'Нормы по школам-интернатам'!I8</f>
        <v>66.2</v>
      </c>
      <c r="L7" s="81">
        <f>I7*'Нормы по школам-интернатам'!J8/'Нормы по школам-интернатам'!H8</f>
        <v>3.59135</v>
      </c>
      <c r="M7" s="81">
        <f>I7*'Нормы по школам-интернатам'!K8/'Нормы по школам-интернатам'!H8</f>
        <v>1.14195</v>
      </c>
      <c r="N7" s="81">
        <f>I7*'Нормы по школам-интернатам'!L8/'Нормы по школам-интернатам'!H8</f>
        <v>21.465349999999997</v>
      </c>
      <c r="O7" s="82">
        <f>I7*'Нормы по школам-интернатам'!M8/'Нормы по школам-интернатам'!H8</f>
        <v>110.47125</v>
      </c>
    </row>
    <row r="8" spans="1:15" ht="15" customHeight="1">
      <c r="A8" s="95" t="s">
        <v>39</v>
      </c>
      <c r="B8" s="105">
        <v>10.2</v>
      </c>
      <c r="C8" s="131">
        <f t="shared" si="0"/>
        <v>10.2</v>
      </c>
      <c r="D8" s="125">
        <f>B8*100/'Нормы по школам-интернатам'!C9</f>
        <v>67.99999999999999</v>
      </c>
      <c r="E8" s="79">
        <f>B8*'Нормы по школам-интернатам'!D9/'Нормы по школам-интернатам'!B9</f>
        <v>1.1219999999999999</v>
      </c>
      <c r="F8" s="79">
        <f>B8*'Нормы по школам-интернатам'!E9/'Нормы по школам-интернатам'!B9</f>
        <v>0.1326</v>
      </c>
      <c r="G8" s="79">
        <f>B8*'Нормы по школам-интернатам'!F9/'Нормы по школам-интернатам'!B9</f>
        <v>7.190999999999999</v>
      </c>
      <c r="H8" s="80">
        <f>B8*'Нормы по школам-интернатам'!G9/'Нормы по школам-интернатам'!B9</f>
        <v>34.476</v>
      </c>
      <c r="I8" s="105">
        <v>14.2</v>
      </c>
      <c r="J8" s="131">
        <f t="shared" si="1"/>
        <v>14.2</v>
      </c>
      <c r="K8" s="125">
        <f>I8*100/'Нормы по школам-интернатам'!I9</f>
        <v>71</v>
      </c>
      <c r="L8" s="81">
        <f>I8*'Нормы по школам-интернатам'!J9/'Нормы по школам-интернатам'!H9</f>
        <v>1.562</v>
      </c>
      <c r="M8" s="81">
        <f>I8*'Нормы по школам-интернатам'!K9/'Нормы по школам-интернатам'!H9</f>
        <v>0.1846</v>
      </c>
      <c r="N8" s="81">
        <f>I8*'Нормы по школам-интернатам'!L9/'Нормы по школам-интернатам'!H9</f>
        <v>10.011</v>
      </c>
      <c r="O8" s="82">
        <f>I8*'Нормы по школам-интернатам'!M9/'Нормы по школам-интернатам'!H9</f>
        <v>47.995999999999995</v>
      </c>
    </row>
    <row r="9" spans="1:15" ht="15" customHeight="1">
      <c r="A9" s="95" t="s">
        <v>8</v>
      </c>
      <c r="B9" s="105">
        <v>35.2</v>
      </c>
      <c r="C9" s="131">
        <f>B9*'Нормы по школам-интернатам'!C10/'Нормы по школам-интернатам'!B10</f>
        <v>26.4704</v>
      </c>
      <c r="D9" s="125">
        <f>B9*100/'Нормы по школам-интернатам'!C10</f>
        <v>18.723404255319153</v>
      </c>
      <c r="E9" s="79">
        <f>B9*'Нормы по школам-интернатам'!D10/'Нормы по школам-интернатам'!B10</f>
        <v>0.529408</v>
      </c>
      <c r="F9" s="79">
        <f>B9*'Нормы по школам-интернатам'!E10/'Нормы по школам-интернатам'!B10</f>
        <v>0.1058816</v>
      </c>
      <c r="G9" s="79">
        <f>B9*'Нормы по школам-интернатам'!F10/'Нормы по школам-интернатам'!B10</f>
        <v>4.314675200000001</v>
      </c>
      <c r="H9" s="80">
        <f>B9*'Нормы по школам-интернатам'!G10/'Нормы по школам-интернатам'!B10</f>
        <v>20.382208</v>
      </c>
      <c r="I9" s="105">
        <v>57.8</v>
      </c>
      <c r="J9" s="131">
        <f t="shared" si="1"/>
        <v>57.8</v>
      </c>
      <c r="K9" s="125">
        <f>I9*100/'Нормы по школам-интернатам'!I10</f>
        <v>30.74468085106383</v>
      </c>
      <c r="L9" s="81">
        <f>I9*'Нормы по школам-интернатам'!J10/'Нормы по школам-интернатам'!H10</f>
        <v>0.8693119999999999</v>
      </c>
      <c r="M9" s="81">
        <f>I9*'Нормы по школам-интернатам'!K10/'Нормы по школам-интернатам'!H10</f>
        <v>0.17386239999999997</v>
      </c>
      <c r="N9" s="81">
        <f>I9*'Нормы по школам-интернатам'!L10/'Нормы по школам-интернатам'!H10</f>
        <v>7.0848928</v>
      </c>
      <c r="O9" s="82">
        <f>I9*'Нормы по школам-интернатам'!M10/'Нормы по школам-интернатам'!H10</f>
        <v>33.468512</v>
      </c>
    </row>
    <row r="10" spans="1:15" ht="15" customHeight="1">
      <c r="A10" s="95" t="s">
        <v>25</v>
      </c>
      <c r="B10" s="105">
        <v>21.1</v>
      </c>
      <c r="C10" s="131">
        <f>B10*'Нормы по школам-интернатам'!C11/'Нормы по школам-интернатам'!B11</f>
        <v>16.88</v>
      </c>
      <c r="D10" s="125">
        <f>B10*100/'Нормы по школам-интернатам'!C11</f>
        <v>7.535714285714286</v>
      </c>
      <c r="E10" s="79">
        <f>B10*'Нормы по школам-интернатам'!D11/'Нормы по школам-интернатам'!B11</f>
        <v>0.21944</v>
      </c>
      <c r="F10" s="79">
        <f>B10*'Нормы по школам-интернатам'!E11/'Нормы по школам-интернатам'!B11</f>
        <v>0.02250666666666667</v>
      </c>
      <c r="G10" s="79">
        <f>B10*'Нормы по школам-интернатам'!F11/'Нормы по школам-интернатам'!B11</f>
        <v>0.9649733333333335</v>
      </c>
      <c r="H10" s="80">
        <f>B10*'Нормы по школам-интернатам'!G11/'Нормы по школам-интернатам'!B11</f>
        <v>5.092133333333334</v>
      </c>
      <c r="I10" s="105">
        <v>61.2</v>
      </c>
      <c r="J10" s="131">
        <f t="shared" si="1"/>
        <v>61.2</v>
      </c>
      <c r="K10" s="125">
        <f>I10*100/'Нормы по школам-интернатам'!I11</f>
        <v>19.125</v>
      </c>
      <c r="L10" s="81">
        <f>I10*'Нормы по школам-интернатам'!J11/'Нормы по школам-интернатам'!H11</f>
        <v>0.63648</v>
      </c>
      <c r="M10" s="81">
        <f>I10*'Нормы по школам-интернатам'!K11/'Нормы по школам-интернатам'!H11</f>
        <v>0.06528</v>
      </c>
      <c r="N10" s="81">
        <f>I10*'Нормы по школам-интернатам'!L11/'Нормы по школам-интернатам'!H11</f>
        <v>2.7988800000000005</v>
      </c>
      <c r="O10" s="82">
        <f>I10*'Нормы по школам-интернатам'!M11/'Нормы по школам-интернатам'!H11</f>
        <v>14.7696</v>
      </c>
    </row>
    <row r="11" spans="1:15" ht="15" customHeight="1">
      <c r="A11" s="95" t="s">
        <v>9</v>
      </c>
      <c r="B11" s="105">
        <v>110</v>
      </c>
      <c r="C11" s="131">
        <f>B11*'Нормы по школам-интернатам'!C12/'Нормы по школам-интернатам'!B12</f>
        <v>101.75</v>
      </c>
      <c r="D11" s="125">
        <f>B11*100/'Нормы по школам-интернатам'!C12</f>
        <v>59.45945945945946</v>
      </c>
      <c r="E11" s="79">
        <f>B11*'Нормы по школам-интернатам'!D12/'Нормы по школам-интернатам'!B12</f>
        <v>0.9496666666666667</v>
      </c>
      <c r="F11" s="79">
        <f>B11*'Нормы по школам-интернатам'!E12/'Нормы по школам-интернатам'!B12</f>
        <v>0.3730833333333334</v>
      </c>
      <c r="G11" s="79">
        <f>B11*'Нормы по школам-интернатам'!F12/'Нормы по школам-интернатам'!B12</f>
        <v>13.193583333333333</v>
      </c>
      <c r="H11" s="80">
        <f>B11*'Нормы по школам-интернатам'!G12/'Нормы по школам-интернатам'!B12</f>
        <v>63.085</v>
      </c>
      <c r="I11" s="105">
        <v>111</v>
      </c>
      <c r="J11" s="131">
        <f t="shared" si="1"/>
        <v>111</v>
      </c>
      <c r="K11" s="125">
        <f>I11*100/'Нормы по школам-интернатам'!I12</f>
        <v>60</v>
      </c>
      <c r="L11" s="81">
        <f>I11*'Нормы по школам-интернатам'!J12/'Нормы по школам-интернатам'!H12</f>
        <v>0.9582999999999999</v>
      </c>
      <c r="M11" s="81">
        <f>I11*'Нормы по школам-интернатам'!K12/'Нормы по школам-интернатам'!H12</f>
        <v>0.37647500000000006</v>
      </c>
      <c r="N11" s="81">
        <f>I11*'Нормы по школам-интернатам'!L12/'Нормы по школам-интернатам'!H12</f>
        <v>13.313525</v>
      </c>
      <c r="O11" s="82">
        <f>I11*'Нормы по школам-интернатам'!M12/'Нормы по школам-интернатам'!H12</f>
        <v>63.658500000000004</v>
      </c>
    </row>
    <row r="12" spans="1:15" ht="15" customHeight="1">
      <c r="A12" s="95" t="s">
        <v>60</v>
      </c>
      <c r="B12" s="105">
        <v>0</v>
      </c>
      <c r="C12" s="131">
        <f t="shared" si="0"/>
        <v>0</v>
      </c>
      <c r="D12" s="125">
        <f>B12*100/'Нормы по школам-интернатам'!C13</f>
        <v>0</v>
      </c>
      <c r="E12" s="79">
        <f>B12*'Нормы по школам-интернатам'!D13/'Нормы по школам-интернатам'!B13</f>
        <v>0</v>
      </c>
      <c r="F12" s="79">
        <f>B12*'Нормы по школам-интернатам'!E13/'Нормы по школам-интернатам'!B13</f>
        <v>0</v>
      </c>
      <c r="G12" s="79">
        <f>B12*'Нормы по школам-интернатам'!F13/'Нормы по школам-интернатам'!B13</f>
        <v>0</v>
      </c>
      <c r="H12" s="80">
        <f>B12*'Нормы по школам-интернатам'!G13/'Нормы по школам-интернатам'!B13</f>
        <v>0</v>
      </c>
      <c r="I12" s="105">
        <v>0</v>
      </c>
      <c r="J12" s="131">
        <f t="shared" si="1"/>
        <v>0</v>
      </c>
      <c r="K12" s="125">
        <f>I12*100/'Нормы по школам-интернатам'!I13</f>
        <v>0</v>
      </c>
      <c r="L12" s="81">
        <f>I12*'Нормы по школам-интернатам'!J13/'Нормы по школам-интернатам'!H13</f>
        <v>0</v>
      </c>
      <c r="M12" s="81">
        <f>I12*'Нормы по школам-интернатам'!K13/'Нормы по школам-интернатам'!H13</f>
        <v>0</v>
      </c>
      <c r="N12" s="81">
        <f>I12*'Нормы по школам-интернатам'!L13/'Нормы по школам-интернатам'!H13</f>
        <v>0</v>
      </c>
      <c r="O12" s="82">
        <f>I12*'Нормы по школам-интернатам'!M13/'Нормы по школам-интернатам'!H13</f>
        <v>0</v>
      </c>
    </row>
    <row r="13" spans="1:15" ht="15" customHeight="1">
      <c r="A13" s="114" t="s">
        <v>72</v>
      </c>
      <c r="B13" s="105">
        <v>0</v>
      </c>
      <c r="C13" s="131">
        <f t="shared" si="0"/>
        <v>0</v>
      </c>
      <c r="D13" s="125">
        <f>B13*100/'Нормы по школам-интернатам'!C14</f>
        <v>0</v>
      </c>
      <c r="E13" s="79">
        <f>B13*'Нормы по школам-интернатам'!D14/'Нормы по школам-интернатам'!B14</f>
        <v>0</v>
      </c>
      <c r="F13" s="79">
        <f>B13*'Нормы по школам-интернатам'!E14/'Нормы по школам-интернатам'!B14</f>
        <v>0</v>
      </c>
      <c r="G13" s="79">
        <f>B13*'Нормы по школам-интернатам'!F14/'Нормы по школам-интернатам'!B14</f>
        <v>0</v>
      </c>
      <c r="H13" s="80">
        <f>B13*'Нормы по школам-интернатам'!G14/'Нормы по школам-интернатам'!B14</f>
        <v>0</v>
      </c>
      <c r="I13" s="105">
        <v>0</v>
      </c>
      <c r="J13" s="131">
        <f t="shared" si="1"/>
        <v>0</v>
      </c>
      <c r="K13" s="125">
        <f>I13*100/'Нормы по школам-интернатам'!I14</f>
        <v>0</v>
      </c>
      <c r="L13" s="81">
        <f>I13*'Нормы по школам-интернатам'!J14/'Нормы по школам-интернатам'!H14</f>
        <v>0</v>
      </c>
      <c r="M13" s="81">
        <f>I13*'Нормы по школам-интернатам'!K14/'Нормы по школам-интернатам'!H14</f>
        <v>0</v>
      </c>
      <c r="N13" s="81">
        <f>I13*'Нормы по школам-интернатам'!L14/'Нормы по школам-интернатам'!H14</f>
        <v>0</v>
      </c>
      <c r="O13" s="82">
        <f>I13*'Нормы по школам-интернатам'!M14/'Нормы по школам-интернатам'!H14</f>
        <v>0</v>
      </c>
    </row>
    <row r="14" spans="1:15" ht="15" customHeight="1">
      <c r="A14" s="95" t="s">
        <v>57</v>
      </c>
      <c r="B14" s="105">
        <v>26.2</v>
      </c>
      <c r="C14" s="131">
        <f>B14*'Нормы по школам-интернатам'!C15/'Нормы по школам-интернатам'!B15</f>
        <v>23.818181818181817</v>
      </c>
      <c r="D14" s="125">
        <f>B14*100/'Нормы по школам-интернатам'!C15</f>
        <v>37.42857142857143</v>
      </c>
      <c r="E14" s="79">
        <f>B14*'Нормы по школам-интернатам'!D15/'Нормы по школам-интернатам'!B15</f>
        <v>4.4301818181818176</v>
      </c>
      <c r="F14" s="79">
        <f>B14*'Нормы по школам-интернатам'!E15/'Нормы по школам-интернатам'!B15</f>
        <v>3.810909090909091</v>
      </c>
      <c r="G14" s="79">
        <f>B14*'Нормы по школам-интернатам'!F15/'Нормы по школам-интернатам'!B15</f>
        <v>0</v>
      </c>
      <c r="H14" s="80">
        <f>B14*'Нормы по школам-интернатам'!G15/'Нормы по школам-интернатам'!B15</f>
        <v>51.92363636363636</v>
      </c>
      <c r="I14" s="105">
        <v>34.1</v>
      </c>
      <c r="J14" s="131">
        <f t="shared" si="1"/>
        <v>34.1</v>
      </c>
      <c r="K14" s="125">
        <f>I14*100/'Нормы по школам-интернатам'!I15</f>
        <v>43.717948717948715</v>
      </c>
      <c r="L14" s="81">
        <f>I14*'Нормы по школам-интернатам'!J15/'Нормы по школам-интернатам'!H15</f>
        <v>5.75259069767442</v>
      </c>
      <c r="M14" s="81">
        <f>I14*'Нормы по школам-интернатам'!K15/'Нормы по школам-интернатам'!H15</f>
        <v>4.9484651162790705</v>
      </c>
      <c r="N14" s="81">
        <f>I14*'Нормы по школам-интернатам'!L15/'Нормы по школам-интернатам'!H15</f>
        <v>0</v>
      </c>
      <c r="O14" s="82">
        <f>I14*'Нормы по школам-интернатам'!M15/'Нормы по школам-интернатам'!H15</f>
        <v>67.42283720930232</v>
      </c>
    </row>
    <row r="15" spans="1:15" ht="15" customHeight="1">
      <c r="A15" s="96" t="s">
        <v>52</v>
      </c>
      <c r="B15" s="105"/>
      <c r="C15" s="131">
        <f>B15*'Нормы по школам-интернатам'!C16/'Нормы по школам-интернатам'!B16</f>
        <v>0</v>
      </c>
      <c r="D15" s="125">
        <f>B15*100/'Нормы по школам-интернатам'!C16</f>
        <v>0</v>
      </c>
      <c r="E15" s="79">
        <f>B15*'Нормы по школам-интернатам'!D16/'Нормы по школам-интернатам'!B16</f>
        <v>0</v>
      </c>
      <c r="F15" s="79">
        <f>B15*'Нормы по школам-интернатам'!E16/'Нормы по школам-интернатам'!B16</f>
        <v>0</v>
      </c>
      <c r="G15" s="79">
        <f>B15*'Нормы по школам-интернатам'!F16/'Нормы по школам-интернатам'!B16</f>
        <v>0</v>
      </c>
      <c r="H15" s="80">
        <f>B15*'Нормы по школам-интернатам'!G16/'Нормы по школам-интернатам'!B16</f>
        <v>0</v>
      </c>
      <c r="I15" s="105"/>
      <c r="J15" s="131">
        <f t="shared" si="1"/>
        <v>0</v>
      </c>
      <c r="K15" s="125">
        <f>I15*100/'Нормы по школам-интернатам'!I16</f>
        <v>0</v>
      </c>
      <c r="L15" s="81">
        <f>I15*'Нормы по школам-интернатам'!J16/'Нормы по школам-интернатам'!H16</f>
        <v>0</v>
      </c>
      <c r="M15" s="81">
        <f>I15*'Нормы по школам-интернатам'!K16/'Нормы по школам-интернатам'!H16</f>
        <v>0</v>
      </c>
      <c r="N15" s="81">
        <f>I15*'Нормы по школам-интернатам'!L16/'Нормы по школам-интернатам'!H16</f>
        <v>0</v>
      </c>
      <c r="O15" s="82">
        <f>I15*'Нормы по школам-интернатам'!M16/'Нормы по школам-интернатам'!H16</f>
        <v>0</v>
      </c>
    </row>
    <row r="16" spans="1:15" ht="15" customHeight="1">
      <c r="A16" s="95" t="s">
        <v>58</v>
      </c>
      <c r="B16" s="105">
        <v>20.4</v>
      </c>
      <c r="C16" s="131">
        <f>B16*'Нормы по школам-интернатам'!C17/'Нормы по школам-интернатам'!B17</f>
        <v>17.85</v>
      </c>
      <c r="D16" s="125">
        <f>B16*100/'Нормы по школам-интернатам'!C17</f>
        <v>58.28571428571428</v>
      </c>
      <c r="E16" s="79">
        <f>B16*'Нормы по школам-интернатам'!D17/'Нормы по школам-интернатам'!B17</f>
        <v>3.33795</v>
      </c>
      <c r="F16" s="79">
        <f>B16*'Нормы по школам-интернатам'!E17/'Нормы по школам-интернатам'!B17</f>
        <v>2.87385</v>
      </c>
      <c r="G16" s="79">
        <f>B16*'Нормы по школам-интернатам'!F17/'Нормы по школам-интернатам'!B17</f>
        <v>0</v>
      </c>
      <c r="H16" s="80">
        <f>B16*'Нормы по школам-интернатам'!G17/'Нормы по школам-интернатам'!B17</f>
        <v>39.269999999999996</v>
      </c>
      <c r="I16" s="105">
        <v>24.1</v>
      </c>
      <c r="J16" s="131">
        <f t="shared" si="1"/>
        <v>24.1</v>
      </c>
      <c r="K16" s="125">
        <f>I16*100/'Нормы по школам-интернатам'!I17</f>
        <v>45.471698113207545</v>
      </c>
      <c r="L16" s="81">
        <f>I16*'Нормы по школам-интернатам'!J17/'Нормы по школам-интернатам'!H17</f>
        <v>3.9809183333333333</v>
      </c>
      <c r="M16" s="81">
        <f>I16*'Нормы по школам-интернатам'!K17/'Нормы по школам-интернатам'!H17</f>
        <v>3.4274216666666675</v>
      </c>
      <c r="N16" s="81">
        <f>I16*'Нормы по школам-интернатам'!L17/'Нормы по школам-интернатам'!H17</f>
        <v>0</v>
      </c>
      <c r="O16" s="82">
        <f>I16*'Нормы по школам-интернатам'!M17/'Нормы по школам-интернатам'!H17</f>
        <v>46.83433333333333</v>
      </c>
    </row>
    <row r="17" spans="1:15" ht="15" customHeight="1">
      <c r="A17" s="96" t="s">
        <v>59</v>
      </c>
      <c r="B17" s="105">
        <v>0</v>
      </c>
      <c r="C17" s="131">
        <f>B17*'Нормы по школам-интернатам'!C18/'Нормы по школам-интернатам'!B18</f>
        <v>0</v>
      </c>
      <c r="D17" s="125">
        <f>B17*100/'Нормы по школам-интернатам'!C18</f>
        <v>0</v>
      </c>
      <c r="E17" s="79">
        <f>B17*'Нормы по школам-интернатам'!D18/'Нормы по школам-интернатам'!B18</f>
        <v>0</v>
      </c>
      <c r="F17" s="79">
        <f>B17*'Нормы по школам-интернатам'!E18/'Нормы по школам-интернатам'!B18</f>
        <v>0</v>
      </c>
      <c r="G17" s="79">
        <f>B17*'Нормы по школам-интернатам'!F18/'Нормы по школам-интернатам'!B18</f>
        <v>0</v>
      </c>
      <c r="H17" s="80">
        <f>B17*'Нормы по школам-интернатам'!G18/'Нормы по школам-интернатам'!B18</f>
        <v>0</v>
      </c>
      <c r="I17" s="105"/>
      <c r="J17" s="131">
        <f t="shared" si="1"/>
        <v>0</v>
      </c>
      <c r="K17" s="125">
        <f>I17*100/'Нормы по школам-интернатам'!I18</f>
        <v>0</v>
      </c>
      <c r="L17" s="81">
        <f>I17*'Нормы по школам-интернатам'!J18/'Нормы по школам-интернатам'!H18</f>
        <v>0</v>
      </c>
      <c r="M17" s="81">
        <f>I17*'Нормы по школам-интернатам'!K18/'Нормы по школам-интернатам'!H18</f>
        <v>0</v>
      </c>
      <c r="N17" s="81">
        <f>I17*'Нормы по школам-интернатам'!L18/'Нормы по школам-интернатам'!H18</f>
        <v>0</v>
      </c>
      <c r="O17" s="82">
        <f>I17*'Нормы по школам-интернатам'!M18/'Нормы по школам-интернатам'!H18</f>
        <v>0</v>
      </c>
    </row>
    <row r="18" spans="1:15" ht="15" customHeight="1">
      <c r="A18" s="95" t="s">
        <v>44</v>
      </c>
      <c r="B18" s="105">
        <v>29.3</v>
      </c>
      <c r="C18" s="131">
        <f>B18*'Нормы по школам-интернатам'!C19/'Нормы по школам-интернатам'!B19</f>
        <v>28.323333333333334</v>
      </c>
      <c r="D18" s="125">
        <f>B18*100/'Нормы по школам-интернатам'!C19</f>
        <v>50.51724137931034</v>
      </c>
      <c r="E18" s="79">
        <f>B18*'Нормы по школам-интернатам'!D19/'Нормы по школам-интернатам'!B19</f>
        <v>4.67335</v>
      </c>
      <c r="F18" s="79">
        <f>B18*'Нормы по школам-интернатам'!E19/'Нормы по школам-интернатам'!B19</f>
        <v>1.095168888888889</v>
      </c>
      <c r="G18" s="79">
        <f>B18*'Нормы по школам-интернатам'!F19/'Нормы по школам-интернатам'!B19</f>
        <v>0</v>
      </c>
      <c r="H18" s="80">
        <f>B18*'Нормы по школам-интернатам'!G19/'Нормы по школам-интернатам'!B19</f>
        <v>28.606566666666666</v>
      </c>
      <c r="I18" s="105">
        <v>26.9</v>
      </c>
      <c r="J18" s="131">
        <f t="shared" si="1"/>
        <v>26.9</v>
      </c>
      <c r="K18" s="125">
        <f>I18*100/'Нормы по школам-интернатам'!I19</f>
        <v>34.935064935064936</v>
      </c>
      <c r="L18" s="81">
        <f>I18*'Нормы по школам-интернатам'!J19/'Нормы по школам-интернатам'!H19</f>
        <v>4.27205625</v>
      </c>
      <c r="M18" s="81">
        <f>I18*'Нормы по школам-интернатам'!K19/'Нормы по школам-интернатам'!H19</f>
        <v>1.0011283333333334</v>
      </c>
      <c r="N18" s="81">
        <f>I18*'Нормы по школам-интернатам'!L19/'Нормы по школам-интернатам'!H19</f>
        <v>0</v>
      </c>
      <c r="O18" s="82">
        <f>I18*'Нормы по школам-интернатам'!M19/'Нормы по школам-интернатам'!H19</f>
        <v>26.1501625</v>
      </c>
    </row>
    <row r="19" spans="1:15" s="27" customFormat="1" ht="15" customHeight="1">
      <c r="A19" s="97" t="s">
        <v>27</v>
      </c>
      <c r="B19" s="105">
        <v>8.3</v>
      </c>
      <c r="C19" s="131">
        <f>B19*'Нормы по школам-интернатам'!C20/'Нормы по школам-интернатам'!B20</f>
        <v>8.134</v>
      </c>
      <c r="D19" s="125">
        <f>B19*100/'Нормы по школам-интернатам'!C20</f>
        <v>56.462585034013614</v>
      </c>
      <c r="E19" s="79">
        <f>B19*'Нормы по школам-интернатам'!D20/'Нормы по школам-интернатам'!B20</f>
        <v>1.041152</v>
      </c>
      <c r="F19" s="79">
        <f>B19*'Нормы по школам-интернатам'!E20/'Нормы по школам-интернатам'!B20</f>
        <v>1.8057480000000001</v>
      </c>
      <c r="G19" s="79">
        <f>B19*'Нормы по школам-интернатам'!F20/'Нормы по школам-интернатам'!B20</f>
        <v>0.12201</v>
      </c>
      <c r="H19" s="80">
        <f>B19*'Нормы по школам-интернатам'!G20/'Нормы по школам-интернатам'!B20</f>
        <v>20.90438</v>
      </c>
      <c r="I19" s="105">
        <v>11.1</v>
      </c>
      <c r="J19" s="131">
        <f t="shared" si="1"/>
        <v>11.1</v>
      </c>
      <c r="K19" s="125">
        <f>I19*100/'Нормы по школам-интернатам'!I20</f>
        <v>56.63265306122449</v>
      </c>
      <c r="L19" s="81">
        <f>I19*'Нормы по школам-интернатам'!J20/'Нормы по школам-интернатам'!H20</f>
        <v>1.3923840000000003</v>
      </c>
      <c r="M19" s="81">
        <f>I19*'Нормы по школам-интернатам'!K20/'Нормы по школам-интернатам'!H20</f>
        <v>2.4149160000000003</v>
      </c>
      <c r="N19" s="81">
        <f>I19*'Нормы по школам-интернатам'!L20/'Нормы по школам-интернатам'!H20</f>
        <v>0.16317</v>
      </c>
      <c r="O19" s="82">
        <f>I19*'Нормы по школам-интернатам'!M20/'Нормы по школам-интернатам'!H20</f>
        <v>27.956460000000003</v>
      </c>
    </row>
    <row r="20" spans="1:15" s="27" customFormat="1" ht="15" customHeight="1">
      <c r="A20" s="97" t="s">
        <v>69</v>
      </c>
      <c r="B20" s="105"/>
      <c r="C20" s="131">
        <f t="shared" si="0"/>
        <v>0</v>
      </c>
      <c r="D20" s="125">
        <f>B20*100/'Нормы по школам-интернатам'!C21</f>
        <v>0</v>
      </c>
      <c r="E20" s="79">
        <f>B20*'Нормы по школам-интернатам'!D21/'Нормы по школам-интернатам'!B21</f>
        <v>0</v>
      </c>
      <c r="F20" s="79">
        <f>B20*'Нормы по школам-интернатам'!E21/'Нормы по школам-интернатам'!B21</f>
        <v>0</v>
      </c>
      <c r="G20" s="79">
        <f>B20*'Нормы по школам-интернатам'!F21/'Нормы по школам-интернатам'!B21</f>
        <v>0</v>
      </c>
      <c r="H20" s="80">
        <f>B20*'Нормы по школам-интернатам'!G21/'Нормы по школам-интернатам'!B21</f>
        <v>0</v>
      </c>
      <c r="I20" s="105"/>
      <c r="J20" s="131">
        <f t="shared" si="1"/>
        <v>0</v>
      </c>
      <c r="K20" s="125">
        <f>I20*100/'Нормы по школам-интернатам'!I21</f>
        <v>0</v>
      </c>
      <c r="L20" s="81">
        <f>I20*'Нормы по школам-интернатам'!J21/'Нормы по школам-интернатам'!H21</f>
        <v>0</v>
      </c>
      <c r="M20" s="81">
        <f>I20*'Нормы по школам-интернатам'!K21/'Нормы по школам-интернатам'!H21</f>
        <v>0</v>
      </c>
      <c r="N20" s="81">
        <f>I20*'Нормы по школам-интернатам'!L21/'Нормы по школам-интернатам'!H21</f>
        <v>0</v>
      </c>
      <c r="O20" s="82">
        <f>I20*'Нормы по школам-интернатам'!M21/'Нормы по школам-интернатам'!H21</f>
        <v>0</v>
      </c>
    </row>
    <row r="21" spans="1:15" s="27" customFormat="1" ht="15" customHeight="1">
      <c r="A21" s="110" t="s">
        <v>71</v>
      </c>
      <c r="B21" s="105">
        <v>128.7</v>
      </c>
      <c r="C21" s="131">
        <f t="shared" si="0"/>
        <v>128.7</v>
      </c>
      <c r="D21" s="125">
        <f>B21*100/'Нормы по школам-интернатам'!C22</f>
        <v>42.89999999999999</v>
      </c>
      <c r="E21" s="79">
        <f>B21*'Нормы по школам-интернатам'!D22/'Нормы по школам-интернатам'!B22</f>
        <v>3.7322999999999995</v>
      </c>
      <c r="F21" s="79">
        <f>B21*'Нормы по школам-интернатам'!E22/'Нормы по школам-интернатам'!B22</f>
        <v>4.118399999999999</v>
      </c>
      <c r="G21" s="79">
        <f>B21*'Нормы по школам-интернатам'!F22/'Нормы по школам-интернатам'!B22</f>
        <v>6.0489</v>
      </c>
      <c r="H21" s="80">
        <f>B21*'Нормы по школам-интернатам'!G22/'Нормы по школам-интернатам'!B22</f>
        <v>77.21999999999998</v>
      </c>
      <c r="I21" s="105">
        <v>192.7</v>
      </c>
      <c r="J21" s="131">
        <f t="shared" si="1"/>
        <v>192.7</v>
      </c>
      <c r="K21" s="125">
        <f>I21*100/'Нормы по школам-интернатам'!I22</f>
        <v>64.23333333333333</v>
      </c>
      <c r="L21" s="81">
        <f>I21*'Нормы по школам-интернатам'!J22/'Нормы по школам-интернатам'!H22</f>
        <v>5.588299999999999</v>
      </c>
      <c r="M21" s="81">
        <f>I21*'Нормы по школам-интернатам'!K22/'Нормы по школам-интернатам'!H22</f>
        <v>6.166399999999999</v>
      </c>
      <c r="N21" s="81">
        <f>I21*'Нормы по школам-интернатам'!L22/'Нормы по школам-интернатам'!H22</f>
        <v>9.056899999999999</v>
      </c>
      <c r="O21" s="82">
        <f>I21*'Нормы по школам-интернатам'!M22/'Нормы по школам-интернатам'!H22</f>
        <v>115.62</v>
      </c>
    </row>
    <row r="22" spans="1:15" s="27" customFormat="1" ht="15" customHeight="1">
      <c r="A22" s="111" t="s">
        <v>70</v>
      </c>
      <c r="B22" s="105">
        <v>40</v>
      </c>
      <c r="C22" s="131">
        <f t="shared" si="0"/>
        <v>40</v>
      </c>
      <c r="D22" s="125">
        <f>B22*100/'Нормы по школам-интернатам'!C23</f>
        <v>26.666666666666668</v>
      </c>
      <c r="E22" s="79">
        <f>B22*'Нормы по школам-интернатам'!D23/'Нормы по школам-интернатам'!B23</f>
        <v>1.08</v>
      </c>
      <c r="F22" s="79">
        <f>B22*'Нормы по школам-интернатам'!E23/'Нормы по школам-интернатам'!B23</f>
        <v>0.027000000000000003</v>
      </c>
      <c r="G22" s="79">
        <f>B22*'Нормы по школам-интернатам'!F23/'Нормы по школам-интернатам'!B23</f>
        <v>4.32</v>
      </c>
      <c r="H22" s="80">
        <f>B22*'Нормы по школам-интернатам'!G23/'Нормы по школам-интернатам'!B23</f>
        <v>31.6</v>
      </c>
      <c r="I22" s="105">
        <v>65</v>
      </c>
      <c r="J22" s="131">
        <f t="shared" si="1"/>
        <v>65</v>
      </c>
      <c r="K22" s="125">
        <f>I22*100/'Нормы по школам-интернатам'!I23</f>
        <v>36.111111111111114</v>
      </c>
      <c r="L22" s="81">
        <f>I22*'Нормы по школам-интернатам'!J23/'Нормы по школам-интернатам'!H23</f>
        <v>1.7550000000000001</v>
      </c>
      <c r="M22" s="81">
        <f>I22*'Нормы по школам-интернатам'!K23/'Нормы по школам-интернатам'!H23</f>
        <v>0.043875</v>
      </c>
      <c r="N22" s="81">
        <f>I22*'Нормы по школам-интернатам'!L23/'Нормы по школам-интернатам'!H23</f>
        <v>7.0200000000000005</v>
      </c>
      <c r="O22" s="82">
        <f>I22*'Нормы по школам-интернатам'!M23/'Нормы по школам-интернатам'!H23</f>
        <v>51.35</v>
      </c>
    </row>
    <row r="23" spans="1:15" s="27" customFormat="1" ht="15" customHeight="1">
      <c r="A23" s="109" t="s">
        <v>71</v>
      </c>
      <c r="B23" s="105"/>
      <c r="C23" s="131">
        <f t="shared" si="0"/>
        <v>0</v>
      </c>
      <c r="D23" s="125">
        <f>B23*100/'Нормы по школам-интернатам'!C24</f>
        <v>0</v>
      </c>
      <c r="E23" s="79">
        <f>B23*'Нормы по школам-интернатам'!D24/'Нормы по школам-интернатам'!B24</f>
        <v>0</v>
      </c>
      <c r="F23" s="79">
        <f>B23*'Нормы по школам-интернатам'!E24/'Нормы по школам-интернатам'!B24</f>
        <v>0</v>
      </c>
      <c r="G23" s="79">
        <f>B23*'Нормы по школам-интернатам'!F24/'Нормы по школам-интернатам'!B24</f>
        <v>0</v>
      </c>
      <c r="H23" s="80">
        <f>B23*'Нормы по школам-интернатам'!G24/'Нормы по школам-интернатам'!B24</f>
        <v>0</v>
      </c>
      <c r="I23" s="105"/>
      <c r="J23" s="131">
        <f t="shared" si="1"/>
        <v>0</v>
      </c>
      <c r="K23" s="125">
        <f>I23*100/'Нормы по школам-интернатам'!I24</f>
        <v>0</v>
      </c>
      <c r="L23" s="81">
        <f>I23*'Нормы по школам-интернатам'!J24/'Нормы по школам-интернатам'!H24</f>
        <v>0</v>
      </c>
      <c r="M23" s="81">
        <f>I23*'Нормы по школам-интернатам'!K24/'Нормы по школам-интернатам'!H24</f>
        <v>0</v>
      </c>
      <c r="N23" s="81">
        <f>I23*'Нормы по школам-интернатам'!L24/'Нормы по школам-интернатам'!H24</f>
        <v>0</v>
      </c>
      <c r="O23" s="82">
        <f>I23*'Нормы по школам-интернатам'!M24/'Нормы по школам-интернатам'!H24</f>
        <v>0</v>
      </c>
    </row>
    <row r="24" spans="1:15" s="27" customFormat="1" ht="15" customHeight="1">
      <c r="A24" s="97" t="s">
        <v>14</v>
      </c>
      <c r="B24" s="105">
        <v>31</v>
      </c>
      <c r="C24" s="131">
        <f t="shared" si="0"/>
        <v>31</v>
      </c>
      <c r="D24" s="125">
        <f>B24*100/'Нормы по школам-интернатам'!C25</f>
        <v>62</v>
      </c>
      <c r="E24" s="79">
        <f>B24*'Нормы по школам-интернатам'!D25/'Нормы по школам-интернатам'!B25</f>
        <v>5.58</v>
      </c>
      <c r="F24" s="79">
        <f>B24*'Нормы по школам-интернатам'!E25/'Нормы по школам-интернатам'!B25</f>
        <v>2.79</v>
      </c>
      <c r="G24" s="79">
        <f>B24*'Нормы по школам-интернатам'!F25/'Нормы по школам-интернатам'!B25</f>
        <v>0.93</v>
      </c>
      <c r="H24" s="80">
        <f>B24*'Нормы по школам-интернатам'!G25/'Нормы по школам-интернатам'!B25</f>
        <v>52.39</v>
      </c>
      <c r="I24" s="105">
        <v>64.8</v>
      </c>
      <c r="J24" s="131">
        <f t="shared" si="1"/>
        <v>64.8</v>
      </c>
      <c r="K24" s="125">
        <f>I24*100/'Нормы по школам-интернатам'!I25</f>
        <v>108</v>
      </c>
      <c r="L24" s="81">
        <f>I24*'Нормы по школам-интернатам'!J25/'Нормы по школам-интернатам'!H25</f>
        <v>11.664</v>
      </c>
      <c r="M24" s="81">
        <f>I24*'Нормы по школам-интернатам'!K25/'Нормы по школам-интернатам'!H25</f>
        <v>5.832</v>
      </c>
      <c r="N24" s="81">
        <f>I24*'Нормы по школам-интернатам'!L25/'Нормы по школам-интернатам'!H25</f>
        <v>1.944</v>
      </c>
      <c r="O24" s="82">
        <f>I24*'Нормы по школам-интернатам'!M25/'Нормы по школам-интернатам'!H25</f>
        <v>109.512</v>
      </c>
    </row>
    <row r="25" spans="1:15" s="27" customFormat="1" ht="15" customHeight="1">
      <c r="A25" s="97" t="s">
        <v>16</v>
      </c>
      <c r="B25" s="105">
        <v>11.4</v>
      </c>
      <c r="C25" s="131">
        <f>B25*'Нормы по школам-интернатам'!C26/'Нормы по школам-интернатам'!B26</f>
        <v>11.172</v>
      </c>
      <c r="D25" s="125">
        <f>B25*100/'Нормы по школам-интернатам'!C26</f>
        <v>116.3265306122449</v>
      </c>
      <c r="E25" s="79">
        <f>B25*'Нормы по школам-интернатам'!D26/'Нормы по школам-интернатам'!B26</f>
        <v>2.938236</v>
      </c>
      <c r="F25" s="79">
        <f>B25*'Нормы по школам-интернатам'!E26/'Нормы по школам-интернатам'!B26</f>
        <v>2.9717520000000004</v>
      </c>
      <c r="G25" s="79">
        <f>B25*'Нормы по школам-интернатам'!F26/'Нормы по школам-интернатам'!B26</f>
        <v>0</v>
      </c>
      <c r="H25" s="80">
        <f>B25*'Нормы по школам-интернатам'!G26/'Нормы по школам-интернатам'!B26</f>
        <v>39.102000000000004</v>
      </c>
      <c r="I25" s="105">
        <v>12.7</v>
      </c>
      <c r="J25" s="131">
        <f t="shared" si="1"/>
        <v>12.7</v>
      </c>
      <c r="K25" s="125">
        <f>I25*100/'Нормы по школам-интернатам'!I26</f>
        <v>107.62711864406779</v>
      </c>
      <c r="L25" s="81">
        <f>I25*'Нормы по школам-интернатам'!J26/'Нормы по школам-интернатам'!H26</f>
        <v>3.2844316666666664</v>
      </c>
      <c r="M25" s="81">
        <f>I25*'Нормы по школам-интернатам'!K26/'Нормы по школам-интернатам'!H26</f>
        <v>3.3218966666666674</v>
      </c>
      <c r="N25" s="81">
        <f>I25*'Нормы по школам-интернатам'!L26/'Нормы по школам-интернатам'!H26</f>
        <v>0</v>
      </c>
      <c r="O25" s="82">
        <f>I25*'Нормы по школам-интернатам'!M26/'Нормы по школам-интернатам'!H26</f>
        <v>43.70916666666667</v>
      </c>
    </row>
    <row r="26" spans="1:15" s="27" customFormat="1" ht="15" customHeight="1">
      <c r="A26" s="97" t="s">
        <v>15</v>
      </c>
      <c r="B26" s="105">
        <v>3.5</v>
      </c>
      <c r="C26" s="131">
        <f t="shared" si="0"/>
        <v>3.5</v>
      </c>
      <c r="D26" s="125">
        <f>B26*100/'Нормы по школам-интернатам'!C27</f>
        <v>35</v>
      </c>
      <c r="E26" s="79">
        <f>B26*'Нормы по школам-интернатам'!D27/'Нормы по школам-интернатам'!B27</f>
        <v>0.091</v>
      </c>
      <c r="F26" s="79">
        <f>B26*'Нормы по школам-интернатам'!E27/'Нормы по школам-интернатам'!B27</f>
        <v>0.525</v>
      </c>
      <c r="G26" s="79">
        <f>B26*'Нормы по школам-интернатам'!F27/'Нормы по школам-интернатам'!B27</f>
        <v>0.126</v>
      </c>
      <c r="H26" s="80">
        <f>B26*'Нормы по школам-интернатам'!G27/'Нормы по школам-интернатам'!B27</f>
        <v>5.67</v>
      </c>
      <c r="I26" s="105">
        <v>4</v>
      </c>
      <c r="J26" s="131">
        <f t="shared" si="1"/>
        <v>4</v>
      </c>
      <c r="K26" s="125">
        <f>I26*100/'Нормы по школам-интернатам'!I27</f>
        <v>40</v>
      </c>
      <c r="L26" s="81">
        <f>I26*'Нормы по школам-интернатам'!J27/'Нормы по школам-интернатам'!H27</f>
        <v>0.10400000000000001</v>
      </c>
      <c r="M26" s="81">
        <f>I26*'Нормы по школам-интернатам'!K27/'Нормы по школам-интернатам'!H27</f>
        <v>0.6</v>
      </c>
      <c r="N26" s="81">
        <f>I26*'Нормы по школам-интернатам'!L27/'Нормы по школам-интернатам'!H27</f>
        <v>0.144</v>
      </c>
      <c r="O26" s="82">
        <f>I26*'Нормы по школам-интернатам'!M27/'Нормы по школам-интернатам'!H27</f>
        <v>6.4799999999999995</v>
      </c>
    </row>
    <row r="27" spans="1:15" s="27" customFormat="1" ht="15" customHeight="1">
      <c r="A27" s="97" t="s">
        <v>12</v>
      </c>
      <c r="B27" s="105">
        <v>9</v>
      </c>
      <c r="C27" s="131">
        <f t="shared" si="0"/>
        <v>9</v>
      </c>
      <c r="D27" s="125">
        <f>B27*100/'Нормы по школам-интернатам'!C28</f>
        <v>30</v>
      </c>
      <c r="E27" s="79">
        <f>B27*'Нормы по школам-интернатам'!D28/'Нормы по школам-интернатам'!B28</f>
        <v>0.045</v>
      </c>
      <c r="F27" s="79">
        <f>B27*'Нормы по школам-интернатам'!E28/'Нормы по школам-интернатам'!B28</f>
        <v>7.425</v>
      </c>
      <c r="G27" s="79">
        <f>B27*'Нормы по школам-интернатам'!F28/'Нормы по школам-интернатам'!B28</f>
        <v>0.07200000000000001</v>
      </c>
      <c r="H27" s="80">
        <f>B27*'Нормы по школам-интернатам'!G28/'Нормы по школам-интернатам'!B28</f>
        <v>67.32000000000001</v>
      </c>
      <c r="I27" s="105">
        <v>12.4</v>
      </c>
      <c r="J27" s="131">
        <f t="shared" si="1"/>
        <v>12.4</v>
      </c>
      <c r="K27" s="125">
        <f>I27*100/'Нормы по школам-интернатам'!I28</f>
        <v>35.42857142857143</v>
      </c>
      <c r="L27" s="81">
        <f>I27*'Нормы по школам-интернатам'!J28/'Нормы по школам-интернатам'!H28</f>
        <v>0.062</v>
      </c>
      <c r="M27" s="81">
        <f>I27*'Нормы по школам-интернатам'!K28/'Нормы по школам-интернатам'!H28</f>
        <v>10.23</v>
      </c>
      <c r="N27" s="81">
        <f>I27*'Нормы по школам-интернатам'!L28/'Нормы по школам-интернатам'!H28</f>
        <v>0.09920000000000001</v>
      </c>
      <c r="O27" s="82">
        <f>I27*'Нормы по школам-интернатам'!M28/'Нормы по школам-интернатам'!H28</f>
        <v>92.75200000000001</v>
      </c>
    </row>
    <row r="28" spans="1:15" s="27" customFormat="1" ht="15" customHeight="1">
      <c r="A28" s="98" t="s">
        <v>13</v>
      </c>
      <c r="B28" s="105">
        <v>3</v>
      </c>
      <c r="C28" s="131">
        <f t="shared" si="0"/>
        <v>3</v>
      </c>
      <c r="D28" s="125">
        <f>B28*100/'Нормы по школам-интернатам'!C29</f>
        <v>20</v>
      </c>
      <c r="E28" s="79">
        <f>B28*'Нормы по школам-интернатам'!D29/'Нормы по школам-интернатам'!B29</f>
        <v>0</v>
      </c>
      <c r="F28" s="79">
        <f>B28*'Нормы по школам-интернатам'!E29/'Нормы по школам-интернатам'!B29</f>
        <v>2.997</v>
      </c>
      <c r="G28" s="79">
        <f>B28*'Нормы по школам-интернатам'!F29/'Нормы по школам-интернатам'!B29</f>
        <v>0</v>
      </c>
      <c r="H28" s="80">
        <f>B28*'Нормы по школам-интернатам'!G29/'Нормы по школам-интернатам'!B29</f>
        <v>26.969999999999995</v>
      </c>
      <c r="I28" s="105">
        <v>2.5</v>
      </c>
      <c r="J28" s="131">
        <f t="shared" si="1"/>
        <v>2.5</v>
      </c>
      <c r="K28" s="125">
        <f>I28*100/'Нормы по школам-интернатам'!I29</f>
        <v>13.88888888888889</v>
      </c>
      <c r="L28" s="81">
        <f>I28*'Нормы по школам-интернатам'!J29/'Нормы по школам-интернатам'!H29</f>
        <v>0</v>
      </c>
      <c r="M28" s="81">
        <f>I28*'Нормы по школам-интернатам'!K29/'Нормы по школам-интернатам'!H29</f>
        <v>2.4975</v>
      </c>
      <c r="N28" s="81">
        <f>I28*'Нормы по школам-интернатам'!L29/'Нормы по школам-интернатам'!H29</f>
        <v>0</v>
      </c>
      <c r="O28" s="82">
        <f>I28*'Нормы по школам-интернатам'!M29/'Нормы по школам-интернатам'!H29</f>
        <v>22.474999999999998</v>
      </c>
    </row>
    <row r="29" spans="1:15" s="27" customFormat="1" ht="15" customHeight="1">
      <c r="A29" s="97" t="s">
        <v>34</v>
      </c>
      <c r="B29" s="105">
        <v>0.3</v>
      </c>
      <c r="C29" s="131">
        <f>B29*'Нормы по школам-интернатам'!C30/'Нормы по школам-интернатам'!B30</f>
        <v>12</v>
      </c>
      <c r="D29" s="125">
        <f>B29*100/'Нормы по школам-интернатам'!C30</f>
        <v>0.75</v>
      </c>
      <c r="E29" s="79">
        <f>B29*'Нормы по школам-интернатам'!D30/'Нормы по школам-интернатам'!B30</f>
        <v>1.524</v>
      </c>
      <c r="F29" s="79">
        <f>B29*'Нормы по школам-интернатам'!E30/'Нормы по школам-интернатам'!B30</f>
        <v>1.38</v>
      </c>
      <c r="G29" s="79">
        <f>B29*'Нормы по школам-интернатам'!F30/'Нормы по школам-интернатам'!B30</f>
        <v>0.084</v>
      </c>
      <c r="H29" s="80">
        <f>B29*'Нормы по школам-интернатам'!G30/'Нормы по школам-интернатам'!B30</f>
        <v>18.84</v>
      </c>
      <c r="I29" s="105">
        <v>0.4</v>
      </c>
      <c r="J29" s="131">
        <f t="shared" si="1"/>
        <v>0.4</v>
      </c>
      <c r="K29" s="125">
        <f>I29*100/'Нормы по школам-интернатам'!I30</f>
        <v>1</v>
      </c>
      <c r="L29" s="81">
        <f>I29*'Нормы по школам-интернатам'!J30/'Нормы по школам-интернатам'!H30</f>
        <v>2.032</v>
      </c>
      <c r="M29" s="81">
        <f>I29*'Нормы по школам-интернатам'!K30/'Нормы по школам-интернатам'!H30</f>
        <v>1.8399999999999999</v>
      </c>
      <c r="N29" s="81">
        <f>I29*'Нормы по школам-интернатам'!L30/'Нормы по школам-интернатам'!H30</f>
        <v>0.11200000000000002</v>
      </c>
      <c r="O29" s="82">
        <f>I29*'Нормы по школам-интернатам'!M30/'Нормы по школам-интернатам'!H30</f>
        <v>25.12</v>
      </c>
    </row>
    <row r="30" spans="1:15" s="27" customFormat="1" ht="15" customHeight="1">
      <c r="A30" s="98" t="s">
        <v>11</v>
      </c>
      <c r="B30" s="105">
        <v>18.9</v>
      </c>
      <c r="C30" s="131">
        <f t="shared" si="0"/>
        <v>18.9</v>
      </c>
      <c r="D30" s="125">
        <f>B30*100/'Нормы по школам-интернатам'!C31</f>
        <v>47.24999999999999</v>
      </c>
      <c r="E30" s="79">
        <f>B30*'Нормы по школам-интернатам'!D31/'Нормы по школам-интернатам'!B31</f>
        <v>0</v>
      </c>
      <c r="F30" s="79">
        <f>B30*'Нормы по школам-интернатам'!E31/'Нормы по школам-интернатам'!B31</f>
        <v>0</v>
      </c>
      <c r="G30" s="79">
        <f>B30*'Нормы по школам-интернатам'!F31/'Нормы по школам-интернатам'!B31</f>
        <v>18.862199999999998</v>
      </c>
      <c r="H30" s="80">
        <f>B30*'Нормы по школам-интернатам'!G31/'Нормы по школам-интернатам'!B31</f>
        <v>75.41099999999999</v>
      </c>
      <c r="I30" s="105">
        <v>21.4</v>
      </c>
      <c r="J30" s="131">
        <f t="shared" si="1"/>
        <v>21.4</v>
      </c>
      <c r="K30" s="125">
        <f>I30*100/'Нормы по школам-интернатам'!I31</f>
        <v>47.55555555555556</v>
      </c>
      <c r="L30" s="81">
        <f>I30*'Нормы по школам-интернатам'!J31/'Нормы по школам-интернатам'!H31</f>
        <v>0</v>
      </c>
      <c r="M30" s="81">
        <f>I30*'Нормы по школам-интернатам'!K31/'Нормы по школам-интернатам'!H31</f>
        <v>0</v>
      </c>
      <c r="N30" s="81">
        <f>I30*'Нормы по школам-интернатам'!L31/'Нормы по школам-интернатам'!H31</f>
        <v>21.357199999999995</v>
      </c>
      <c r="O30" s="82">
        <f>I30*'Нормы по школам-интернатам'!M31/'Нормы по школам-интернатам'!H31</f>
        <v>85.386</v>
      </c>
    </row>
    <row r="31" spans="1:15" s="27" customFormat="1" ht="15" customHeight="1">
      <c r="A31" s="97" t="s">
        <v>10</v>
      </c>
      <c r="B31" s="105">
        <v>0</v>
      </c>
      <c r="C31" s="131">
        <f t="shared" si="0"/>
        <v>0</v>
      </c>
      <c r="D31" s="125">
        <f>B31*100/'Нормы по школам-интернатам'!C32</f>
        <v>0</v>
      </c>
      <c r="E31" s="79">
        <f>B31*'Нормы по школам-интернатам'!D32/'Нормы по школам-интернатам'!B32</f>
        <v>0</v>
      </c>
      <c r="F31" s="79">
        <f>B31*'Нормы по школам-интернатам'!E32/'Нормы по школам-интернатам'!B32</f>
        <v>0</v>
      </c>
      <c r="G31" s="79">
        <f>B31*'Нормы по школам-интернатам'!F32/'Нормы по школам-интернатам'!B32</f>
        <v>0</v>
      </c>
      <c r="H31" s="80">
        <f>B31*'Нормы по школам-интернатам'!G32/'Нормы по школам-интернатам'!B32</f>
        <v>0</v>
      </c>
      <c r="I31" s="105">
        <v>0</v>
      </c>
      <c r="J31" s="131">
        <f t="shared" si="1"/>
        <v>0</v>
      </c>
      <c r="K31" s="125">
        <f>I31*100/'Нормы по школам-интернатам'!I32</f>
        <v>0</v>
      </c>
      <c r="L31" s="81">
        <f>I31*'Нормы по школам-интернатам'!J32/'Нормы по школам-интернатам'!H32</f>
        <v>0</v>
      </c>
      <c r="M31" s="81">
        <f>I31*'Нормы по школам-интернатам'!K32/'Нормы по школам-интернатам'!H32</f>
        <v>0</v>
      </c>
      <c r="N31" s="81">
        <f>I31*'Нормы по школам-интернатам'!L32/'Нормы по школам-интернатам'!H32</f>
        <v>0</v>
      </c>
      <c r="O31" s="82">
        <f>I31*'Нормы по школам-интернатам'!M32/'Нормы по школам-интернатам'!H32</f>
        <v>0</v>
      </c>
    </row>
    <row r="32" spans="1:15" ht="15" customHeight="1">
      <c r="A32" s="95" t="s">
        <v>17</v>
      </c>
      <c r="B32" s="105">
        <v>0.4</v>
      </c>
      <c r="C32" s="131">
        <f t="shared" si="0"/>
        <v>0.4</v>
      </c>
      <c r="D32" s="125">
        <f>B32*100/'Нормы по школам-интернатам'!C33</f>
        <v>100</v>
      </c>
      <c r="E32" s="79">
        <f>B32*'Нормы по школам-интернатам'!D33/'Нормы по школам-интернатам'!B33</f>
        <v>0.0004000000000000001</v>
      </c>
      <c r="F32" s="79">
        <f>B32*'Нормы по школам-интернатам'!E33/'Нормы по школам-интернатам'!B33</f>
        <v>0</v>
      </c>
      <c r="G32" s="79">
        <f>B32*'Нормы по школам-интернатам'!F33/'Нормы по школам-интернатам'!B33</f>
        <v>0</v>
      </c>
      <c r="H32" s="80">
        <f>B32*'Нормы по школам-интернатам'!G33/'Нормы по школам-интернатам'!B33</f>
        <v>0</v>
      </c>
      <c r="I32" s="105">
        <v>0.25</v>
      </c>
      <c r="J32" s="131">
        <f t="shared" si="1"/>
        <v>0.25</v>
      </c>
      <c r="K32" s="125">
        <f>I32*100/'Нормы по школам-интернатам'!I33</f>
        <v>62.5</v>
      </c>
      <c r="L32" s="81">
        <f>I32*'Нормы по школам-интернатам'!J33/'Нормы по школам-интернатам'!H33</f>
        <v>0.00025</v>
      </c>
      <c r="M32" s="81">
        <f>I32*'Нормы по школам-интернатам'!K33/'Нормы по школам-интернатам'!H33</f>
        <v>0</v>
      </c>
      <c r="N32" s="81">
        <f>I32*'Нормы по школам-интернатам'!L33/'Нормы по школам-интернатам'!H33</f>
        <v>0</v>
      </c>
      <c r="O32" s="82">
        <f>I32*'Нормы по школам-интернатам'!M33/'Нормы по школам-интернатам'!H33</f>
        <v>0</v>
      </c>
    </row>
    <row r="33" spans="1:15" ht="15" customHeight="1">
      <c r="A33" s="95" t="s">
        <v>26</v>
      </c>
      <c r="B33" s="105">
        <v>0.8</v>
      </c>
      <c r="C33" s="131">
        <f t="shared" si="0"/>
        <v>0.8</v>
      </c>
      <c r="D33" s="125">
        <f>B33*100/'Нормы по школам-интернатам'!C34</f>
        <v>66.66666666666667</v>
      </c>
      <c r="E33" s="79">
        <f>B33*'Нормы по школам-интернатам'!D34/'Нормы по школам-интернатам'!B34</f>
        <v>0.19440000000000004</v>
      </c>
      <c r="F33" s="79">
        <f>B33*'Нормы по школам-интернатам'!E34/'Нормы по школам-интернатам'!B34</f>
        <v>0.12</v>
      </c>
      <c r="G33" s="79">
        <f>B33*'Нормы по школам-интернатам'!F34/'Нормы по школам-интернатам'!B34</f>
        <v>0.08159999999999999</v>
      </c>
      <c r="H33" s="80">
        <f>B33*'Нормы по школам-интернатам'!G34/'Нормы по школам-интернатам'!B34</f>
        <v>2.3120000000000003</v>
      </c>
      <c r="I33" s="105">
        <v>1.7</v>
      </c>
      <c r="J33" s="131">
        <f t="shared" si="1"/>
        <v>1.7</v>
      </c>
      <c r="K33" s="125">
        <f>I33*100/'Нормы по школам-интернатам'!I34</f>
        <v>141.66666666666669</v>
      </c>
      <c r="L33" s="81">
        <f>I33*'Нормы по школам-интернатам'!J34/'Нормы по школам-интернатам'!H34</f>
        <v>0.4131000000000001</v>
      </c>
      <c r="M33" s="81">
        <f>I33*'Нормы по школам-интернатам'!K34/'Нормы по школам-интернатам'!H34</f>
        <v>0.255</v>
      </c>
      <c r="N33" s="81">
        <f>I33*'Нормы по школам-интернатам'!L34/'Нормы по школам-интернатам'!H34</f>
        <v>0.17339999999999997</v>
      </c>
      <c r="O33" s="82">
        <f>I33*'Нормы по школам-интернатам'!M34/'Нормы по школам-интернатам'!H34</f>
        <v>4.913</v>
      </c>
    </row>
    <row r="34" spans="1:15" ht="15" customHeight="1">
      <c r="A34" s="95" t="s">
        <v>19</v>
      </c>
      <c r="B34" s="105">
        <v>0</v>
      </c>
      <c r="C34" s="131">
        <f t="shared" si="0"/>
        <v>0</v>
      </c>
      <c r="D34" s="125">
        <f>B34*100/'Нормы по школам-интернатам'!C35</f>
        <v>0</v>
      </c>
      <c r="E34" s="79">
        <f>B34*'Нормы по школам-интернатам'!D35/'Нормы по школам-интернатам'!B35</f>
        <v>0</v>
      </c>
      <c r="F34" s="79">
        <f>B34*'Нормы по школам-интернатам'!E35/'Нормы по школам-интернатам'!B35</f>
        <v>0</v>
      </c>
      <c r="G34" s="79">
        <f>B34*'Нормы по школам-интернатам'!F35/'Нормы по школам-интернатам'!B35</f>
        <v>0</v>
      </c>
      <c r="H34" s="80">
        <f>B34*'Нормы по школам-интернатам'!G35/'Нормы по школам-интернатам'!B35</f>
        <v>0</v>
      </c>
      <c r="I34" s="105"/>
      <c r="J34" s="131">
        <f t="shared" si="1"/>
        <v>0</v>
      </c>
      <c r="K34" s="125">
        <f>I34*100/'Нормы по школам-интернатам'!I35</f>
        <v>0</v>
      </c>
      <c r="L34" s="81">
        <f>I34*'Нормы по школам-интернатам'!J35/'Нормы по школам-интернатам'!H35</f>
        <v>0</v>
      </c>
      <c r="M34" s="81">
        <f>I34*'Нормы по школам-интернатам'!K35/'Нормы по школам-интернатам'!H35</f>
        <v>0</v>
      </c>
      <c r="N34" s="81">
        <f>I34*'Нормы по школам-интернатам'!L35/'Нормы по школам-интернатам'!H35</f>
        <v>0</v>
      </c>
      <c r="O34" s="82">
        <f>I34*'Нормы по школам-интернатам'!M35/'Нормы по школам-интернатам'!H35</f>
        <v>0</v>
      </c>
    </row>
    <row r="35" spans="1:15" ht="15" customHeight="1" thickBot="1">
      <c r="A35" s="99" t="s">
        <v>18</v>
      </c>
      <c r="B35" s="106">
        <v>3.15</v>
      </c>
      <c r="C35" s="132">
        <f>B35</f>
        <v>3.15</v>
      </c>
      <c r="D35" s="127">
        <f>B35*100/'Нормы по школам-интернатам'!C36</f>
        <v>63</v>
      </c>
      <c r="E35" s="102">
        <f>B35*'Нормы по школам-интернатам'!D36/'Нормы по школам-интернатам'!B36</f>
        <v>0</v>
      </c>
      <c r="F35" s="102">
        <f>B35*'Нормы по школам-интернатам'!E36/'Нормы по школам-интернатам'!B36</f>
        <v>0</v>
      </c>
      <c r="G35" s="102">
        <f>B35*'Нормы по школам-интернатам'!F35/'Нормы по школам-интернатам'!B35</f>
        <v>0.26775</v>
      </c>
      <c r="H35" s="103">
        <f>B35*'Нормы по школам-интернатам'!G35/'Нормы по школам-интернатам'!B35</f>
        <v>3.4335</v>
      </c>
      <c r="I35" s="106">
        <v>3.1</v>
      </c>
      <c r="J35" s="132">
        <f>I35</f>
        <v>3.1</v>
      </c>
      <c r="K35" s="127">
        <f>I35*100/'Нормы по школам-интернатам'!I36</f>
        <v>44.285714285714285</v>
      </c>
      <c r="L35" s="128">
        <f>I35*'Нормы по школам-интернатам'!J36/'Нормы по школам-интернатам'!H36</f>
        <v>0</v>
      </c>
      <c r="M35" s="128">
        <f>I35*'Нормы по школам-интернатам'!K36/'Нормы по школам-интернатам'!H36</f>
        <v>0</v>
      </c>
      <c r="N35" s="128">
        <f>I35*'Нормы по школам-интернатам'!L36/'Нормы по школам-интернатам'!H36</f>
        <v>0</v>
      </c>
      <c r="O35" s="129">
        <f>I35*'Нормы по школам-интернатам'!M36/'Нормы по школам-интернатам'!H36</f>
        <v>0</v>
      </c>
    </row>
    <row r="36" spans="1:15" ht="13.5" customHeight="1">
      <c r="A36" s="83" t="s">
        <v>24</v>
      </c>
      <c r="B36" s="84"/>
      <c r="C36" s="84"/>
      <c r="D36" s="85"/>
      <c r="E36" s="100" t="s">
        <v>20</v>
      </c>
      <c r="F36" s="101" t="s">
        <v>21</v>
      </c>
      <c r="G36" s="101" t="s">
        <v>22</v>
      </c>
      <c r="H36" s="115" t="s">
        <v>23</v>
      </c>
      <c r="I36" s="86"/>
      <c r="J36" s="86"/>
      <c r="K36" s="86"/>
      <c r="L36" s="100" t="s">
        <v>20</v>
      </c>
      <c r="M36" s="101" t="s">
        <v>21</v>
      </c>
      <c r="N36" s="101" t="s">
        <v>22</v>
      </c>
      <c r="O36" s="115" t="s">
        <v>23</v>
      </c>
    </row>
    <row r="37" spans="1:15" ht="14.25" customHeight="1">
      <c r="A37" s="34" t="s">
        <v>37</v>
      </c>
      <c r="B37" s="87"/>
      <c r="C37" s="87"/>
      <c r="D37" s="88"/>
      <c r="E37" s="89">
        <f>SUM(E4:E35)</f>
        <v>37.68593448484848</v>
      </c>
      <c r="F37" s="90">
        <f>SUM(F4:F35)</f>
        <v>33.554449579797975</v>
      </c>
      <c r="G37" s="90">
        <f>SUM(G4:G35)</f>
        <v>95.93884186666669</v>
      </c>
      <c r="H37" s="91">
        <f>SUM(H4:H35)</f>
        <v>855.3951743636363</v>
      </c>
      <c r="I37" s="92"/>
      <c r="J37" s="92"/>
      <c r="K37" s="93"/>
      <c r="L37" s="89">
        <f>SUM(L4:L35)</f>
        <v>52.51887294767442</v>
      </c>
      <c r="M37" s="90">
        <f>SUM(M4:M35)</f>
        <v>45.007470182945745</v>
      </c>
      <c r="N37" s="90">
        <f>SUM(N4:N35)</f>
        <v>124.52481779999998</v>
      </c>
      <c r="O37" s="91">
        <f>SUM(O4:O35)</f>
        <v>1138.2948217093024</v>
      </c>
    </row>
    <row r="38" spans="1:15" s="124" customFormat="1" ht="14.25" customHeight="1" thickBot="1">
      <c r="A38" s="33" t="s">
        <v>28</v>
      </c>
      <c r="B38" s="38"/>
      <c r="C38" s="38"/>
      <c r="D38" s="30"/>
      <c r="E38" s="116">
        <f>100*E37/'Нормы по школам-интернатам'!B38</f>
        <v>27.9558383764167</v>
      </c>
      <c r="F38" s="117">
        <f>100*F37/'Нормы по школам-интернатам'!B39</f>
        <v>35.774289833604215</v>
      </c>
      <c r="G38" s="117">
        <f>100*G37/'Нормы по школам-интернатам'!B40</f>
        <v>28.390130755917884</v>
      </c>
      <c r="H38" s="118">
        <f>100*H37/'Нормы по школам-интернатам'!B41</f>
        <v>32.58332971231358</v>
      </c>
      <c r="I38" s="119"/>
      <c r="J38" s="119"/>
      <c r="K38" s="120"/>
      <c r="L38" s="121">
        <f>100*L37/'Нормы по школам-интернатам'!H38</f>
        <v>33.21178920056355</v>
      </c>
      <c r="M38" s="122">
        <f>100*M37/'Нормы по школам-интернатам'!H39</f>
        <v>40.660036187528696</v>
      </c>
      <c r="N38" s="122">
        <f>100*N37/'Нормы по школам-интернатам'!H40</f>
        <v>30.57209041399816</v>
      </c>
      <c r="O38" s="123">
        <f>100*O37/'Нормы по школам-интернатам'!H41</f>
        <v>36.22209655359502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A75" sheet="1" formatCells="0" formatColumns="0" formatRows="0"/>
  <mergeCells count="4">
    <mergeCell ref="B1:O1"/>
    <mergeCell ref="A2:A3"/>
    <mergeCell ref="I2:O2"/>
    <mergeCell ref="B2:H2"/>
  </mergeCells>
  <printOptions/>
  <pageMargins left="0.24" right="0.29" top="0.19" bottom="0.15" header="0" footer="0"/>
  <pageSetup horizontalDpi="360" verticalDpi="36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="84" zoomScaleNormal="84" zoomScalePageLayoutView="0" workbookViewId="0" topLeftCell="A1">
      <pane xSplit="1" ySplit="3" topLeftCell="B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I21" sqref="I21"/>
    </sheetView>
  </sheetViews>
  <sheetFormatPr defaultColWidth="9.140625" defaultRowHeight="12.75"/>
  <cols>
    <col min="1" max="1" width="25.00390625" style="26" customWidth="1"/>
    <col min="2" max="2" width="7.421875" style="26" customWidth="1"/>
    <col min="3" max="3" width="7.140625" style="26" customWidth="1"/>
    <col min="4" max="4" width="7.57421875" style="26" customWidth="1"/>
    <col min="5" max="5" width="7.140625" style="26" customWidth="1"/>
    <col min="6" max="6" width="7.00390625" style="26" customWidth="1"/>
    <col min="7" max="7" width="10.140625" style="26" customWidth="1"/>
    <col min="8" max="8" width="13.5742187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3.421875" style="26" customWidth="1"/>
    <col min="16" max="16384" width="9.140625" style="26" customWidth="1"/>
  </cols>
  <sheetData>
    <row r="1" spans="1:15" s="24" customFormat="1" ht="15.75" customHeight="1" thickBot="1">
      <c r="A1" s="37" t="s">
        <v>76</v>
      </c>
      <c r="B1" s="153" t="s">
        <v>74</v>
      </c>
      <c r="C1" s="154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  <row r="2" spans="1:15" s="24" customFormat="1" ht="15" customHeight="1">
      <c r="A2" s="157" t="s">
        <v>0</v>
      </c>
      <c r="B2" s="163" t="s">
        <v>48</v>
      </c>
      <c r="C2" s="164"/>
      <c r="D2" s="164"/>
      <c r="E2" s="164"/>
      <c r="F2" s="164"/>
      <c r="G2" s="164"/>
      <c r="H2" s="165"/>
      <c r="I2" s="159" t="s">
        <v>49</v>
      </c>
      <c r="J2" s="160"/>
      <c r="K2" s="161"/>
      <c r="L2" s="161"/>
      <c r="M2" s="161"/>
      <c r="N2" s="161"/>
      <c r="O2" s="162"/>
    </row>
    <row r="3" spans="1:15" s="25" customFormat="1" ht="29.25" customHeight="1" thickBot="1">
      <c r="A3" s="158"/>
      <c r="B3" s="73" t="s">
        <v>31</v>
      </c>
      <c r="C3" s="112" t="s">
        <v>47</v>
      </c>
      <c r="D3" s="74" t="s">
        <v>28</v>
      </c>
      <c r="E3" s="74" t="s">
        <v>1</v>
      </c>
      <c r="F3" s="74" t="s">
        <v>2</v>
      </c>
      <c r="G3" s="74" t="s">
        <v>3</v>
      </c>
      <c r="H3" s="113" t="s">
        <v>4</v>
      </c>
      <c r="I3" s="73" t="s">
        <v>31</v>
      </c>
      <c r="J3" s="112" t="s">
        <v>47</v>
      </c>
      <c r="K3" s="74" t="s">
        <v>28</v>
      </c>
      <c r="L3" s="74" t="s">
        <v>1</v>
      </c>
      <c r="M3" s="74" t="s">
        <v>2</v>
      </c>
      <c r="N3" s="74" t="s">
        <v>3</v>
      </c>
      <c r="O3" s="113" t="s">
        <v>4</v>
      </c>
    </row>
    <row r="4" spans="1:15" ht="15" customHeight="1">
      <c r="A4" s="94" t="s">
        <v>6</v>
      </c>
      <c r="B4" s="104">
        <v>60</v>
      </c>
      <c r="C4" s="130">
        <f>B4</f>
        <v>60</v>
      </c>
      <c r="D4" s="126">
        <f>B4*100/'Нормы по школам-интернатам'!C5</f>
        <v>75</v>
      </c>
      <c r="E4" s="75">
        <f>B4*'Нормы по школам-интернатам'!D5/'Нормы по школам-интернатам'!B5</f>
        <v>2.94</v>
      </c>
      <c r="F4" s="75">
        <f>B4*'Нормы по школам-интернатам'!E5/'Нормы по школам-интернатам'!B5</f>
        <v>0.6</v>
      </c>
      <c r="G4" s="75">
        <f>B4*'Нормы по школам-интернатам'!F5/'Нормы по школам-интернатам'!B5</f>
        <v>26.880000000000003</v>
      </c>
      <c r="H4" s="76">
        <f>B4*'Нормы по школам-интернатам'!G5/'Нормы по школам-интернатам'!B5</f>
        <v>126</v>
      </c>
      <c r="I4" s="104">
        <v>70.75</v>
      </c>
      <c r="J4" s="130">
        <f>I4</f>
        <v>70.75</v>
      </c>
      <c r="K4" s="126">
        <f>I4*100/'Нормы по школам-интернатам'!I5</f>
        <v>58.958333333333336</v>
      </c>
      <c r="L4" s="77">
        <f>I4*'Нормы по школам-интернатам'!J5/'Нормы по школам-интернатам'!H5</f>
        <v>3.4667499999999998</v>
      </c>
      <c r="M4" s="77">
        <f>I4*'Нормы по школам-интернатам'!K5/'Нормы по школам-интернатам'!H5</f>
        <v>0.7074999999999999</v>
      </c>
      <c r="N4" s="77">
        <f>I4*'Нормы по школам-интернатам'!L5/'Нормы по школам-интернатам'!H5</f>
        <v>31.696</v>
      </c>
      <c r="O4" s="78">
        <f>I4*'Нормы по школам-интернатам'!M5/'Нормы по школам-интернатам'!H5</f>
        <v>148.575</v>
      </c>
    </row>
    <row r="5" spans="1:15" ht="15" customHeight="1">
      <c r="A5" s="95" t="s">
        <v>5</v>
      </c>
      <c r="B5" s="105">
        <v>13.4</v>
      </c>
      <c r="C5" s="131">
        <f>B5</f>
        <v>13.4</v>
      </c>
      <c r="D5" s="125">
        <f>B5*100/'Нормы по школам-интернатам'!C6</f>
        <v>8.933333333333334</v>
      </c>
      <c r="E5" s="79">
        <f>B5*'Нормы по школам-интернатам'!D6/'Нормы по школам-интернатам'!B6</f>
        <v>1.0184000000000002</v>
      </c>
      <c r="F5" s="79">
        <f>B5*'Нормы по школам-интернатам'!E6/'Нормы по школам-интернатам'!B6</f>
        <v>0.10719999999999999</v>
      </c>
      <c r="G5" s="79">
        <f>B5*'Нормы по школам-интернатам'!F6/'Нормы по школам-интернатам'!B6</f>
        <v>6.5927999999999995</v>
      </c>
      <c r="H5" s="80">
        <f>B5*'Нормы по школам-интернатам'!G6/'Нормы по школам-интернатам'!B6</f>
        <v>31.49</v>
      </c>
      <c r="I5" s="105">
        <v>82</v>
      </c>
      <c r="J5" s="131">
        <f>I5</f>
        <v>82</v>
      </c>
      <c r="K5" s="125">
        <f>I5*100/'Нормы по школам-интернатам'!I6</f>
        <v>41</v>
      </c>
      <c r="L5" s="81">
        <f>I5*'Нормы по школам-интернатам'!J6/'Нормы по школам-интернатам'!H6</f>
        <v>6.231999999999999</v>
      </c>
      <c r="M5" s="81">
        <f>I5*'Нормы по школам-интернатам'!K6/'Нормы по школам-интернатам'!H6</f>
        <v>0.6560000000000001</v>
      </c>
      <c r="N5" s="81">
        <f>I5*'Нормы по школам-интернатам'!L6/'Нормы по школам-интернатам'!H6</f>
        <v>40.344</v>
      </c>
      <c r="O5" s="82">
        <f>I5*'Нормы по школам-интернатам'!M6/'Нормы по школам-интернатам'!H6</f>
        <v>192.7</v>
      </c>
    </row>
    <row r="6" spans="1:15" ht="15" customHeight="1">
      <c r="A6" s="95" t="s">
        <v>7</v>
      </c>
      <c r="B6" s="105">
        <v>2.6</v>
      </c>
      <c r="C6" s="131">
        <f aca="true" t="shared" si="0" ref="C6:C34">B6</f>
        <v>2.6</v>
      </c>
      <c r="D6" s="125">
        <f>B6*100/'Нормы по школам-интернатам'!C7</f>
        <v>17.333333333333332</v>
      </c>
      <c r="E6" s="79">
        <f>B6*'Нормы по школам-интернатам'!D7/'Нормы по школам-интернатам'!B7</f>
        <v>0.28080000000000005</v>
      </c>
      <c r="F6" s="79">
        <f>B6*'Нормы по школам-интернатам'!E7/'Нормы по школам-интернатам'!B7</f>
        <v>0.033800000000000004</v>
      </c>
      <c r="G6" s="79">
        <f>B6*'Нормы по школам-интернатам'!F7/'Нормы по школам-интернатам'!B7</f>
        <v>1.8174</v>
      </c>
      <c r="H6" s="80">
        <f>B6*'Нормы по школам-интернатам'!G7/'Нормы по школам-интернатам'!B7</f>
        <v>8.684000000000001</v>
      </c>
      <c r="I6" s="105">
        <v>3.1</v>
      </c>
      <c r="J6" s="131">
        <f aca="true" t="shared" si="1" ref="J6:J34">I6</f>
        <v>3.1</v>
      </c>
      <c r="K6" s="125">
        <f>I6*100/'Нормы по школам-интернатам'!I7</f>
        <v>15.5</v>
      </c>
      <c r="L6" s="81">
        <f>I6*'Нормы по школам-интернатам'!J7/'Нормы по школам-интернатам'!H7</f>
        <v>0.33480000000000004</v>
      </c>
      <c r="M6" s="81">
        <f>I6*'Нормы по школам-интернатам'!K7/'Нормы по школам-интернатам'!H7</f>
        <v>0.0403</v>
      </c>
      <c r="N6" s="81">
        <f>I6*'Нормы по школам-интернатам'!L7/'Нормы по школам-интернатам'!H7</f>
        <v>2.1669</v>
      </c>
      <c r="O6" s="82">
        <f>I6*'Нормы по школам-интернатам'!M7/'Нормы по школам-интернатам'!H7</f>
        <v>10.354</v>
      </c>
    </row>
    <row r="7" spans="1:15" ht="15" customHeight="1">
      <c r="A7" s="95" t="s">
        <v>38</v>
      </c>
      <c r="B7" s="105">
        <v>31.1</v>
      </c>
      <c r="C7" s="131">
        <f t="shared" si="0"/>
        <v>31.1</v>
      </c>
      <c r="D7" s="125">
        <f>B7*100/'Нормы по школам-интернатам'!C8</f>
        <v>69.11111111111111</v>
      </c>
      <c r="E7" s="79">
        <f>B7*'Нормы по школам-интернатам'!D8/'Нормы по школам-интернатам'!B8</f>
        <v>3.37435</v>
      </c>
      <c r="F7" s="79">
        <f>B7*'Нормы по школам-интернатам'!E8/'Нормы по школам-интернатам'!B8</f>
        <v>1.07295</v>
      </c>
      <c r="G7" s="79">
        <f>B7*'Нормы по школам-интернатам'!F8/'Нормы по школам-интернатам'!B8</f>
        <v>20.168349999999997</v>
      </c>
      <c r="H7" s="80">
        <f>B7*'Нормы по школам-интернатам'!G8/'Нормы по школам-интернатам'!B8</f>
        <v>103.79625</v>
      </c>
      <c r="I7" s="105">
        <v>37</v>
      </c>
      <c r="J7" s="131">
        <f t="shared" si="1"/>
        <v>37</v>
      </c>
      <c r="K7" s="125">
        <f>I7*100/'Нормы по школам-интернатам'!I8</f>
        <v>74</v>
      </c>
      <c r="L7" s="81">
        <f>I7*'Нормы по школам-интернатам'!J8/'Нормы по школам-интернатам'!H8</f>
        <v>4.0145</v>
      </c>
      <c r="M7" s="81">
        <f>I7*'Нормы по школам-интернатам'!K8/'Нормы по школам-интернатам'!H8</f>
        <v>1.2765</v>
      </c>
      <c r="N7" s="81">
        <f>I7*'Нормы по школам-интернатам'!L8/'Нормы по школам-интернатам'!H8</f>
        <v>23.9945</v>
      </c>
      <c r="O7" s="82">
        <f>I7*'Нормы по школам-интернатам'!M8/'Нормы по школам-интернатам'!H8</f>
        <v>123.4875</v>
      </c>
    </row>
    <row r="8" spans="1:15" ht="15" customHeight="1">
      <c r="A8" s="95" t="s">
        <v>39</v>
      </c>
      <c r="B8" s="105">
        <v>6.25</v>
      </c>
      <c r="C8" s="131">
        <f t="shared" si="0"/>
        <v>6.25</v>
      </c>
      <c r="D8" s="125">
        <f>B8*100/'Нормы по школам-интернатам'!C9</f>
        <v>41.666666666666664</v>
      </c>
      <c r="E8" s="79">
        <f>B8*'Нормы по школам-интернатам'!D9/'Нормы по школам-интернатам'!B9</f>
        <v>0.6875</v>
      </c>
      <c r="F8" s="79">
        <f>B8*'Нормы по школам-интернатам'!E9/'Нормы по школам-интернатам'!B9</f>
        <v>0.08125</v>
      </c>
      <c r="G8" s="79">
        <f>B8*'Нормы по школам-интернатам'!F9/'Нормы по школам-интернатам'!B9</f>
        <v>4.40625</v>
      </c>
      <c r="H8" s="80">
        <f>B8*'Нормы по школам-интернатам'!G9/'Нормы по школам-интернатам'!B9</f>
        <v>21.125</v>
      </c>
      <c r="I8" s="105">
        <v>5.7</v>
      </c>
      <c r="J8" s="131">
        <f t="shared" si="1"/>
        <v>5.7</v>
      </c>
      <c r="K8" s="125">
        <f>I8*100/'Нормы по школам-интернатам'!I9</f>
        <v>28.5</v>
      </c>
      <c r="L8" s="81">
        <f>I8*'Нормы по школам-интернатам'!J9/'Нормы по школам-интернатам'!H9</f>
        <v>0.627</v>
      </c>
      <c r="M8" s="81">
        <f>I8*'Нормы по школам-интернатам'!K9/'Нормы по школам-интернатам'!H9</f>
        <v>0.07410000000000001</v>
      </c>
      <c r="N8" s="81">
        <f>I8*'Нормы по школам-интернатам'!L9/'Нормы по школам-интернатам'!H9</f>
        <v>4.0185</v>
      </c>
      <c r="O8" s="82">
        <f>I8*'Нормы по школам-интернатам'!M9/'Нормы по школам-интернатам'!H9</f>
        <v>19.266</v>
      </c>
    </row>
    <row r="9" spans="1:15" ht="15" customHeight="1">
      <c r="A9" s="95" t="s">
        <v>8</v>
      </c>
      <c r="B9" s="105">
        <v>141.8</v>
      </c>
      <c r="C9" s="131">
        <f>B9*'Нормы по школам-интернатам'!C10/'Нормы по школам-интернатам'!B10</f>
        <v>106.6336</v>
      </c>
      <c r="D9" s="125">
        <f>B9*100/'Нормы по школам-интернатам'!C10</f>
        <v>75.42553191489363</v>
      </c>
      <c r="E9" s="79">
        <f>B9*'Нормы по школам-интернатам'!D10/'Нормы по школам-интернатам'!B10</f>
        <v>2.132672</v>
      </c>
      <c r="F9" s="79">
        <f>B9*'Нормы по школам-интернатам'!E10/'Нормы по школам-интернатам'!B10</f>
        <v>0.42653440000000004</v>
      </c>
      <c r="G9" s="79">
        <f>B9*'Нормы по школам-интернатам'!F10/'Нормы по школам-интернатам'!B10</f>
        <v>17.381276800000002</v>
      </c>
      <c r="H9" s="80">
        <f>B9*'Нормы по школам-интернатам'!G10/'Нормы по школам-интернатам'!B10</f>
        <v>82.107872</v>
      </c>
      <c r="I9" s="105">
        <v>168.9</v>
      </c>
      <c r="J9" s="131">
        <f t="shared" si="1"/>
        <v>168.9</v>
      </c>
      <c r="K9" s="125">
        <f>I9*100/'Нормы по школам-интернатам'!I10</f>
        <v>89.84042553191489</v>
      </c>
      <c r="L9" s="81">
        <f>I9*'Нормы по школам-интернатам'!J10/'Нормы по школам-интернатам'!H10</f>
        <v>2.540256</v>
      </c>
      <c r="M9" s="81">
        <f>I9*'Нормы по школам-интернатам'!K10/'Нормы по школам-интернатам'!H10</f>
        <v>0.5080512</v>
      </c>
      <c r="N9" s="81">
        <f>I9*'Нормы по школам-интернатам'!L10/'Нормы по школам-интернатам'!H10</f>
        <v>20.703086400000004</v>
      </c>
      <c r="O9" s="82">
        <f>I9*'Нормы по школам-интернатам'!M10/'Нормы по школам-интернатам'!H10</f>
        <v>97.799856</v>
      </c>
    </row>
    <row r="10" spans="1:15" ht="15" customHeight="1">
      <c r="A10" s="95" t="s">
        <v>25</v>
      </c>
      <c r="B10" s="105">
        <v>201.9</v>
      </c>
      <c r="C10" s="131">
        <f>B10*'Нормы по школам-интернатам'!C11/'Нормы по школам-интернатам'!B11</f>
        <v>161.52</v>
      </c>
      <c r="D10" s="125">
        <f>B10*100/'Нормы по школам-интернатам'!C11</f>
        <v>72.10714285714286</v>
      </c>
      <c r="E10" s="79">
        <f>B10*'Нормы по школам-интернатам'!D11/'Нормы по школам-интернатам'!B11</f>
        <v>2.0997600000000003</v>
      </c>
      <c r="F10" s="79">
        <f>B10*'Нормы по школам-интернатам'!E11/'Нормы по школам-интернатам'!B11</f>
        <v>0.21536000000000002</v>
      </c>
      <c r="G10" s="79">
        <f>B10*'Нормы по школам-интернатам'!F11/'Нормы по школам-интернатам'!B11</f>
        <v>9.23356</v>
      </c>
      <c r="H10" s="80">
        <f>B10*'Нормы по школам-интернатам'!G11/'Нормы по школам-интернатам'!B11</f>
        <v>48.7252</v>
      </c>
      <c r="I10" s="105">
        <v>212.9</v>
      </c>
      <c r="J10" s="131">
        <f t="shared" si="1"/>
        <v>212.9</v>
      </c>
      <c r="K10" s="125">
        <f>I10*100/'Нормы по школам-интернатам'!I11</f>
        <v>66.53125</v>
      </c>
      <c r="L10" s="81">
        <f>I10*'Нормы по школам-интернатам'!J11/'Нормы по школам-интернатам'!H11</f>
        <v>2.21416</v>
      </c>
      <c r="M10" s="81">
        <f>I10*'Нормы по школам-интернатам'!K11/'Нормы по школам-интернатам'!H11</f>
        <v>0.22709333333333337</v>
      </c>
      <c r="N10" s="81">
        <f>I10*'Нормы по школам-интернатам'!L11/'Нормы по школам-интернатам'!H11</f>
        <v>9.736626666666668</v>
      </c>
      <c r="O10" s="82">
        <f>I10*'Нормы по школам-интернатам'!M11/'Нормы по школам-интернатам'!H11</f>
        <v>51.379866666666665</v>
      </c>
    </row>
    <row r="11" spans="1:15" ht="15" customHeight="1">
      <c r="A11" s="95" t="s">
        <v>9</v>
      </c>
      <c r="B11" s="105">
        <v>74</v>
      </c>
      <c r="C11" s="131">
        <f>B11*'Нормы по школам-интернатам'!C12/'Нормы по школам-интернатам'!B12</f>
        <v>68.45</v>
      </c>
      <c r="D11" s="125">
        <f>B11*100/'Нормы по школам-интернатам'!C12</f>
        <v>40</v>
      </c>
      <c r="E11" s="79">
        <f>B11*'Нормы по школам-интернатам'!D12/'Нормы по школам-интернатам'!B12</f>
        <v>0.6388666666666666</v>
      </c>
      <c r="F11" s="79">
        <f>B11*'Нормы по школам-интернатам'!E12/'Нормы по школам-интернатам'!B12</f>
        <v>0.25098333333333334</v>
      </c>
      <c r="G11" s="79">
        <f>B11*'Нормы по школам-интернатам'!F12/'Нормы по школам-интернатам'!B12</f>
        <v>8.875683333333335</v>
      </c>
      <c r="H11" s="80">
        <f>B11*'Нормы по школам-интернатам'!G12/'Нормы по школам-интернатам'!B12</f>
        <v>42.43900000000001</v>
      </c>
      <c r="I11" s="105">
        <v>48</v>
      </c>
      <c r="J11" s="131">
        <f t="shared" si="1"/>
        <v>48</v>
      </c>
      <c r="K11" s="125">
        <f>I11*100/'Нормы по школам-интернатам'!I12</f>
        <v>25.945945945945947</v>
      </c>
      <c r="L11" s="81">
        <f>I11*'Нормы по школам-интернатам'!J12/'Нормы по школам-интернатам'!H12</f>
        <v>0.4144</v>
      </c>
      <c r="M11" s="81">
        <f>I11*'Нормы по школам-интернатам'!K12/'Нормы по школам-интернатам'!H12</f>
        <v>0.1628</v>
      </c>
      <c r="N11" s="81">
        <f>I11*'Нормы по школам-интернатам'!L12/'Нормы по школам-интернатам'!H12</f>
        <v>5.7572</v>
      </c>
      <c r="O11" s="82">
        <f>I11*'Нормы по школам-интернатам'!M12/'Нормы по школам-интернатам'!H12</f>
        <v>27.528000000000002</v>
      </c>
    </row>
    <row r="12" spans="1:15" ht="15" customHeight="1">
      <c r="A12" s="95" t="s">
        <v>60</v>
      </c>
      <c r="B12" s="105">
        <v>6</v>
      </c>
      <c r="C12" s="131">
        <f t="shared" si="0"/>
        <v>6</v>
      </c>
      <c r="D12" s="125">
        <f>B12*100/'Нормы по школам-интернатам'!C13</f>
        <v>40</v>
      </c>
      <c r="E12" s="79">
        <f>B12*'Нормы по школам-интернатам'!D13/'Нормы по школам-интернатам'!B13</f>
        <v>0.18480000000000002</v>
      </c>
      <c r="F12" s="79">
        <f>B12*'Нормы по школам-интернатам'!E13/'Нормы по школам-интернатам'!B13</f>
        <v>0.036000000000000004</v>
      </c>
      <c r="G12" s="79">
        <f>B12*'Нормы по школам-интернатам'!F13/'Нормы по школам-интернатам'!B13</f>
        <v>3.3792</v>
      </c>
      <c r="H12" s="80">
        <f>B12*'Нормы по школам-интернатам'!G13/'Нормы по школам-интернатам'!B13</f>
        <v>15.671999999999999</v>
      </c>
      <c r="I12" s="105">
        <v>6</v>
      </c>
      <c r="J12" s="131">
        <f t="shared" si="1"/>
        <v>6</v>
      </c>
      <c r="K12" s="125">
        <f>I12*100/'Нормы по школам-интернатам'!I13</f>
        <v>30</v>
      </c>
      <c r="L12" s="81">
        <f>I12*'Нормы по школам-интернатам'!J13/'Нормы по школам-интернатам'!H13</f>
        <v>0.18480000000000002</v>
      </c>
      <c r="M12" s="81">
        <f>I12*'Нормы по школам-интернатам'!K13/'Нормы по школам-интернатам'!H13</f>
        <v>0.036</v>
      </c>
      <c r="N12" s="81">
        <f>I12*'Нормы по школам-интернатам'!L13/'Нормы по школам-интернатам'!H13</f>
        <v>3.3792</v>
      </c>
      <c r="O12" s="82">
        <f>I12*'Нормы по школам-интернатам'!M13/'Нормы по школам-интернатам'!H13</f>
        <v>15.672</v>
      </c>
    </row>
    <row r="13" spans="1:15" ht="15" customHeight="1">
      <c r="A13" s="114" t="s">
        <v>72</v>
      </c>
      <c r="B13" s="105">
        <v>120</v>
      </c>
      <c r="C13" s="131">
        <f t="shared" si="0"/>
        <v>120</v>
      </c>
      <c r="D13" s="125">
        <f>B13*100/'Нормы по школам-интернатам'!C14</f>
        <v>60</v>
      </c>
      <c r="E13" s="79">
        <f>B13*'Нормы по школам-интернатам'!D14/'Нормы по школам-интернатам'!B14</f>
        <v>0.72</v>
      </c>
      <c r="F13" s="79">
        <f>B13*'Нормы по школам-интернатам'!E14/'Нормы по школам-интернатам'!B14</f>
        <v>0.12</v>
      </c>
      <c r="G13" s="79">
        <f>B13*'Нормы по школам-интернатам'!F14/'Нормы по школам-интернатам'!B14</f>
        <v>13.979999999999997</v>
      </c>
      <c r="H13" s="80">
        <f>B13*'Нормы по школам-интернатам'!G14/'Нормы по школам-интернатам'!B14</f>
        <v>63.6</v>
      </c>
      <c r="I13" s="105">
        <v>120</v>
      </c>
      <c r="J13" s="131">
        <f t="shared" si="1"/>
        <v>120</v>
      </c>
      <c r="K13" s="125">
        <f>I13*100/'Нормы по школам-интернатам'!I14</f>
        <v>60</v>
      </c>
      <c r="L13" s="81">
        <f>I13*'Нормы по школам-интернатам'!J14/'Нормы по школам-интернатам'!H14</f>
        <v>0.72</v>
      </c>
      <c r="M13" s="81">
        <f>I13*'Нормы по школам-интернатам'!K14/'Нормы по школам-интернатам'!H14</f>
        <v>0.12</v>
      </c>
      <c r="N13" s="81">
        <f>I13*'Нормы по школам-интернатам'!L14/'Нормы по школам-интернатам'!H14</f>
        <v>13.979999999999997</v>
      </c>
      <c r="O13" s="82">
        <f>I13*'Нормы по школам-интернатам'!M14/'Нормы по школам-интернатам'!H14</f>
        <v>63.6</v>
      </c>
    </row>
    <row r="14" spans="1:15" ht="15" customHeight="1">
      <c r="A14" s="95" t="s">
        <v>57</v>
      </c>
      <c r="B14" s="105">
        <v>64.9</v>
      </c>
      <c r="C14" s="131">
        <f>B14*'Нормы по школам-интернатам'!C15/'Нормы по школам-интернатам'!B15</f>
        <v>59</v>
      </c>
      <c r="D14" s="125">
        <f>B14*100/'Нормы по школам-интернатам'!C15</f>
        <v>92.71428571428572</v>
      </c>
      <c r="E14" s="79">
        <f>B14*'Нормы по школам-интернатам'!D15/'Нормы по школам-интернатам'!B15</f>
        <v>10.974</v>
      </c>
      <c r="F14" s="79">
        <f>B14*'Нормы по школам-интернатам'!E15/'Нормы по школам-интернатам'!B15</f>
        <v>9.44</v>
      </c>
      <c r="G14" s="79">
        <f>B14*'Нормы по школам-интернатам'!F15/'Нормы по школам-интернатам'!B15</f>
        <v>0</v>
      </c>
      <c r="H14" s="80">
        <f>B14*'Нормы по школам-интернатам'!G15/'Нормы по школам-интернатам'!B15</f>
        <v>128.62</v>
      </c>
      <c r="I14" s="105">
        <v>59.1</v>
      </c>
      <c r="J14" s="131">
        <f t="shared" si="1"/>
        <v>59.1</v>
      </c>
      <c r="K14" s="125">
        <f>I14*100/'Нормы по школам-интернатам'!I15</f>
        <v>75.76923076923077</v>
      </c>
      <c r="L14" s="81">
        <f>I14*'Нормы по школам-интернатам'!J15/'Нормы по школам-интернатам'!H15</f>
        <v>9.970032558139536</v>
      </c>
      <c r="M14" s="81">
        <f>I14*'Нормы по школам-интернатам'!K15/'Нормы по школам-интернатам'!H15</f>
        <v>8.576372093023258</v>
      </c>
      <c r="N14" s="81">
        <f>I14*'Нормы по школам-интернатам'!L15/'Нормы по школам-интернатам'!H15</f>
        <v>0</v>
      </c>
      <c r="O14" s="82">
        <f>I14*'Нормы по школам-интернатам'!M15/'Нормы по школам-интернатам'!H15</f>
        <v>116.85306976744185</v>
      </c>
    </row>
    <row r="15" spans="1:15" ht="15" customHeight="1">
      <c r="A15" s="96" t="s">
        <v>52</v>
      </c>
      <c r="B15" s="105"/>
      <c r="C15" s="131">
        <f>B15*'Нормы по школам-интернатам'!C16/'Нормы по школам-интернатам'!B16</f>
        <v>0</v>
      </c>
      <c r="D15" s="125">
        <f>B15*100/'Нормы по школам-интернатам'!C16</f>
        <v>0</v>
      </c>
      <c r="E15" s="79">
        <f>B15*'Нормы по школам-интернатам'!D16/'Нормы по школам-интернатам'!B16</f>
        <v>0</v>
      </c>
      <c r="F15" s="79">
        <f>B15*'Нормы по школам-интернатам'!E16/'Нормы по школам-интернатам'!B16</f>
        <v>0</v>
      </c>
      <c r="G15" s="79">
        <f>B15*'Нормы по школам-интернатам'!F16/'Нормы по школам-интернатам'!B16</f>
        <v>0</v>
      </c>
      <c r="H15" s="80">
        <f>B15*'Нормы по школам-интернатам'!G16/'Нормы по школам-интернатам'!B16</f>
        <v>0</v>
      </c>
      <c r="I15" s="105"/>
      <c r="J15" s="131">
        <f t="shared" si="1"/>
        <v>0</v>
      </c>
      <c r="K15" s="125">
        <f>I15*100/'Нормы по школам-интернатам'!I16</f>
        <v>0</v>
      </c>
      <c r="L15" s="81">
        <f>I15*'Нормы по школам-интернатам'!J16/'Нормы по школам-интернатам'!H16</f>
        <v>0</v>
      </c>
      <c r="M15" s="81">
        <f>I15*'Нормы по школам-интернатам'!K16/'Нормы по школам-интернатам'!H16</f>
        <v>0</v>
      </c>
      <c r="N15" s="81">
        <f>I15*'Нормы по школам-интернатам'!L16/'Нормы по школам-интернатам'!H16</f>
        <v>0</v>
      </c>
      <c r="O15" s="82">
        <f>I15*'Нормы по школам-интернатам'!M16/'Нормы по школам-интернатам'!H16</f>
        <v>0</v>
      </c>
    </row>
    <row r="16" spans="1:15" ht="15" customHeight="1">
      <c r="A16" s="95" t="s">
        <v>58</v>
      </c>
      <c r="B16" s="105">
        <v>29.9</v>
      </c>
      <c r="C16" s="131">
        <f>B16*'Нормы по школам-интернатам'!C17/'Нормы по школам-интернатам'!B17</f>
        <v>26.1625</v>
      </c>
      <c r="D16" s="125">
        <f>B16*100/'Нормы по школам-интернатам'!C17</f>
        <v>85.42857142857143</v>
      </c>
      <c r="E16" s="79">
        <f>B16*'Нормы по школам-интернатам'!D17/'Нормы по школам-интернатам'!B17</f>
        <v>4.8923875</v>
      </c>
      <c r="F16" s="79">
        <f>B16*'Нормы по школам-интернатам'!E17/'Нормы по школам-интернатам'!B17</f>
        <v>4.2121625</v>
      </c>
      <c r="G16" s="79">
        <f>B16*'Нормы по школам-интернатам'!F17/'Нормы по школам-интернатам'!B17</f>
        <v>0</v>
      </c>
      <c r="H16" s="80">
        <f>B16*'Нормы по школам-интернатам'!G17/'Нормы по школам-интернатам'!B17</f>
        <v>57.55749999999999</v>
      </c>
      <c r="I16" s="105">
        <v>29.4</v>
      </c>
      <c r="J16" s="131">
        <f t="shared" si="1"/>
        <v>29.4</v>
      </c>
      <c r="K16" s="125">
        <f>I16*100/'Нормы по школам-интернатам'!I17</f>
        <v>55.471698113207545</v>
      </c>
      <c r="L16" s="81">
        <f>I16*'Нормы по школам-интернатам'!J17/'Нормы по школам-интернатам'!H17</f>
        <v>4.85639</v>
      </c>
      <c r="M16" s="81">
        <f>I16*'Нормы по школам-интернатам'!K17/'Нормы по школам-интернатам'!H17</f>
        <v>4.18117</v>
      </c>
      <c r="N16" s="81">
        <f>I16*'Нормы по школам-интернатам'!L17/'Нормы по школам-интернатам'!H17</f>
        <v>0</v>
      </c>
      <c r="O16" s="82">
        <f>I16*'Нормы по школам-интернатам'!M17/'Нормы по школам-интернатам'!H17</f>
        <v>57.13399999999999</v>
      </c>
    </row>
    <row r="17" spans="1:15" ht="15" customHeight="1">
      <c r="A17" s="96" t="s">
        <v>59</v>
      </c>
      <c r="B17" s="105"/>
      <c r="C17" s="131">
        <f>B17*'Нормы по школам-интернатам'!C18/'Нормы по школам-интернатам'!B18</f>
        <v>0</v>
      </c>
      <c r="D17" s="125">
        <f>B17*100/'Нормы по школам-интернатам'!C18</f>
        <v>0</v>
      </c>
      <c r="E17" s="79">
        <f>B17*'Нормы по школам-интернатам'!D18/'Нормы по школам-интернатам'!B18</f>
        <v>0</v>
      </c>
      <c r="F17" s="79">
        <f>B17*'Нормы по школам-интернатам'!E18/'Нормы по школам-интернатам'!B18</f>
        <v>0</v>
      </c>
      <c r="G17" s="79">
        <f>B17*'Нормы по школам-интернатам'!F18/'Нормы по школам-интернатам'!B18</f>
        <v>0</v>
      </c>
      <c r="H17" s="80">
        <f>B17*'Нормы по школам-интернатам'!G18/'Нормы по школам-интернатам'!B18</f>
        <v>0</v>
      </c>
      <c r="I17" s="105"/>
      <c r="J17" s="131">
        <f t="shared" si="1"/>
        <v>0</v>
      </c>
      <c r="K17" s="125">
        <f>I17*100/'Нормы по школам-интернатам'!I18</f>
        <v>0</v>
      </c>
      <c r="L17" s="81">
        <f>I17*'Нормы по школам-интернатам'!J18/'Нормы по школам-интернатам'!H18</f>
        <v>0</v>
      </c>
      <c r="M17" s="81">
        <f>I17*'Нормы по школам-интернатам'!K18/'Нормы по школам-интернатам'!H18</f>
        <v>0</v>
      </c>
      <c r="N17" s="81">
        <f>I17*'Нормы по школам-интернатам'!L18/'Нормы по школам-интернатам'!H18</f>
        <v>0</v>
      </c>
      <c r="O17" s="82">
        <f>I17*'Нормы по школам-интернатам'!M18/'Нормы по школам-интернатам'!H18</f>
        <v>0</v>
      </c>
    </row>
    <row r="18" spans="1:15" ht="15" customHeight="1">
      <c r="A18" s="95" t="s">
        <v>44</v>
      </c>
      <c r="B18" s="105">
        <v>36</v>
      </c>
      <c r="C18" s="131">
        <f>B18*'Нормы по школам-интернатам'!C19/'Нормы по школам-интернатам'!B19</f>
        <v>34.8</v>
      </c>
      <c r="D18" s="125">
        <f>B18*100/'Нормы по школам-интернатам'!C19</f>
        <v>62.06896551724138</v>
      </c>
      <c r="E18" s="79">
        <f>B18*'Нормы по школам-интернатам'!D19/'Нормы по школам-интернатам'!B19</f>
        <v>5.742</v>
      </c>
      <c r="F18" s="79">
        <f>B18*'Нормы по школам-интернатам'!E19/'Нормы по школам-интернатам'!B19</f>
        <v>1.3456000000000004</v>
      </c>
      <c r="G18" s="79">
        <f>B18*'Нормы по школам-интернатам'!F19/'Нормы по школам-интернатам'!B19</f>
        <v>0</v>
      </c>
      <c r="H18" s="80">
        <f>B18*'Нормы по школам-интернатам'!G19/'Нормы по школам-интернатам'!B19</f>
        <v>35.148</v>
      </c>
      <c r="I18" s="105">
        <v>41.3</v>
      </c>
      <c r="J18" s="131">
        <f t="shared" si="1"/>
        <v>41.3</v>
      </c>
      <c r="K18" s="125">
        <f>I18*100/'Нормы по школам-интернатам'!I19</f>
        <v>53.63636363636363</v>
      </c>
      <c r="L18" s="81">
        <f>I18*'Нормы по школам-интернатам'!J19/'Нормы по школам-интернатам'!H19</f>
        <v>6.55895625</v>
      </c>
      <c r="M18" s="81">
        <f>I18*'Нормы по школам-интернатам'!K19/'Нормы по школам-интернатам'!H19</f>
        <v>1.5370483333333336</v>
      </c>
      <c r="N18" s="81">
        <f>I18*'Нормы по школам-интернатам'!L19/'Нормы по школам-интернатам'!H19</f>
        <v>0</v>
      </c>
      <c r="O18" s="82">
        <f>I18*'Нормы по школам-интернатам'!M19/'Нормы по школам-интернатам'!H19</f>
        <v>40.1487625</v>
      </c>
    </row>
    <row r="19" spans="1:15" s="27" customFormat="1" ht="15" customHeight="1">
      <c r="A19" s="97" t="s">
        <v>27</v>
      </c>
      <c r="B19" s="105">
        <v>1.5</v>
      </c>
      <c r="C19" s="131">
        <f>B19*'Нормы по школам-интернатам'!C20/'Нормы по школам-интернатам'!B20</f>
        <v>1.4699999999999998</v>
      </c>
      <c r="D19" s="125">
        <f>B19*100/'Нормы по школам-интернатам'!C20</f>
        <v>10.204081632653061</v>
      </c>
      <c r="E19" s="79">
        <f>B19*'Нормы по школам-интернатам'!D20/'Нормы по школам-интернатам'!B20</f>
        <v>0.18816</v>
      </c>
      <c r="F19" s="79">
        <f>B19*'Нормы по школам-интернатам'!E20/'Нормы по школам-интернатам'!B20</f>
        <v>0.32633999999999996</v>
      </c>
      <c r="G19" s="79">
        <f>B19*'Нормы по школам-интернатам'!F20/'Нормы по школам-интернатам'!B20</f>
        <v>0.02205</v>
      </c>
      <c r="H19" s="80">
        <f>B19*'Нормы по школам-интернатам'!G20/'Нормы по школам-интернатам'!B20</f>
        <v>3.7779</v>
      </c>
      <c r="I19" s="105">
        <v>1.5</v>
      </c>
      <c r="J19" s="131">
        <f t="shared" si="1"/>
        <v>1.5</v>
      </c>
      <c r="K19" s="125">
        <f>I19*100/'Нормы по школам-интернатам'!I20</f>
        <v>7.653061224489796</v>
      </c>
      <c r="L19" s="81">
        <f>I19*'Нормы по школам-интернатам'!J20/'Нормы по школам-интернатам'!H20</f>
        <v>0.18816000000000002</v>
      </c>
      <c r="M19" s="81">
        <f>I19*'Нормы по школам-интернатам'!K20/'Нормы по школам-интернатам'!H20</f>
        <v>0.32634</v>
      </c>
      <c r="N19" s="81">
        <f>I19*'Нормы по школам-интернатам'!L20/'Нормы по школам-интернатам'!H20</f>
        <v>0.022050000000000004</v>
      </c>
      <c r="O19" s="82">
        <f>I19*'Нормы по школам-интернатам'!M20/'Нормы по школам-интернатам'!H20</f>
        <v>3.7779000000000003</v>
      </c>
    </row>
    <row r="20" spans="1:15" s="27" customFormat="1" ht="15" customHeight="1">
      <c r="A20" s="97" t="s">
        <v>69</v>
      </c>
      <c r="B20" s="105"/>
      <c r="C20" s="131">
        <f t="shared" si="0"/>
        <v>0</v>
      </c>
      <c r="D20" s="125">
        <f>B20*100/'Нормы по школам-интернатам'!C21</f>
        <v>0</v>
      </c>
      <c r="E20" s="79">
        <f>B20*'Нормы по школам-интернатам'!D21/'Нормы по школам-интернатам'!B21</f>
        <v>0</v>
      </c>
      <c r="F20" s="79">
        <f>B20*'Нормы по школам-интернатам'!E21/'Нормы по школам-интернатам'!B21</f>
        <v>0</v>
      </c>
      <c r="G20" s="79">
        <f>B20*'Нормы по школам-интернатам'!F21/'Нормы по школам-интернатам'!B21</f>
        <v>0</v>
      </c>
      <c r="H20" s="80">
        <f>B20*'Нормы по школам-интернатам'!G21/'Нормы по школам-интернатам'!B21</f>
        <v>0</v>
      </c>
      <c r="I20" s="105"/>
      <c r="J20" s="131">
        <f t="shared" si="1"/>
        <v>0</v>
      </c>
      <c r="K20" s="125">
        <f>I20*100/'Нормы по школам-интернатам'!I21</f>
        <v>0</v>
      </c>
      <c r="L20" s="81">
        <f>I20*'Нормы по школам-интернатам'!J21/'Нормы по школам-интернатам'!H21</f>
        <v>0</v>
      </c>
      <c r="M20" s="81">
        <f>I20*'Нормы по школам-интернатам'!K21/'Нормы по школам-интернатам'!H21</f>
        <v>0</v>
      </c>
      <c r="N20" s="81">
        <f>I20*'Нормы по школам-интернатам'!L21/'Нормы по школам-интернатам'!H21</f>
        <v>0</v>
      </c>
      <c r="O20" s="82">
        <f>I20*'Нормы по школам-интернатам'!M21/'Нормы по школам-интернатам'!H21</f>
        <v>0</v>
      </c>
    </row>
    <row r="21" spans="1:15" s="27" customFormat="1" ht="15" customHeight="1">
      <c r="A21" s="110" t="s">
        <v>71</v>
      </c>
      <c r="B21" s="105">
        <v>12.4</v>
      </c>
      <c r="C21" s="131">
        <f t="shared" si="0"/>
        <v>12.4</v>
      </c>
      <c r="D21" s="125">
        <f>B21*100/'Нормы по школам-интернатам'!C22</f>
        <v>4.133333333333334</v>
      </c>
      <c r="E21" s="79">
        <f>B21*'Нормы по школам-интернатам'!D22/'Нормы по школам-интернатам'!B22</f>
        <v>0.3596</v>
      </c>
      <c r="F21" s="79">
        <f>B21*'Нормы по школам-интернатам'!E22/'Нормы по школам-интернатам'!B22</f>
        <v>0.3968</v>
      </c>
      <c r="G21" s="79">
        <f>B21*'Нормы по школам-интернатам'!F22/'Нормы по школам-интернатам'!B22</f>
        <v>0.5828</v>
      </c>
      <c r="H21" s="80">
        <f>B21*'Нормы по школам-интернатам'!G22/'Нормы по школам-интернатам'!B22</f>
        <v>7.44</v>
      </c>
      <c r="I21" s="105">
        <v>15.7</v>
      </c>
      <c r="J21" s="131">
        <f t="shared" si="1"/>
        <v>15.7</v>
      </c>
      <c r="K21" s="125">
        <f>I21*100/'Нормы по школам-интернатам'!I22</f>
        <v>5.233333333333333</v>
      </c>
      <c r="L21" s="81">
        <f>I21*'Нормы по школам-интернатам'!J22/'Нормы по школам-интернатам'!H22</f>
        <v>0.4552999999999999</v>
      </c>
      <c r="M21" s="81">
        <f>I21*'Нормы по школам-интернатам'!K22/'Нормы по школам-интернатам'!H22</f>
        <v>0.5024</v>
      </c>
      <c r="N21" s="81">
        <f>I21*'Нормы по школам-интернатам'!L22/'Нормы по школам-интернатам'!H22</f>
        <v>0.7378999999999999</v>
      </c>
      <c r="O21" s="82">
        <f>I21*'Нормы по школам-интернатам'!M22/'Нормы по школам-интернатам'!H22</f>
        <v>9.42</v>
      </c>
    </row>
    <row r="22" spans="1:15" s="27" customFormat="1" ht="15" customHeight="1">
      <c r="A22" s="111" t="s">
        <v>70</v>
      </c>
      <c r="B22" s="105"/>
      <c r="C22" s="131">
        <f t="shared" si="0"/>
        <v>0</v>
      </c>
      <c r="D22" s="125">
        <f>B22*100/'Нормы по школам-интернатам'!C23</f>
        <v>0</v>
      </c>
      <c r="E22" s="79">
        <f>B22*'Нормы по школам-интернатам'!D23/'Нормы по школам-интернатам'!B23</f>
        <v>0</v>
      </c>
      <c r="F22" s="79">
        <f>B22*'Нормы по школам-интернатам'!E23/'Нормы по школам-интернатам'!B23</f>
        <v>0</v>
      </c>
      <c r="G22" s="79">
        <f>B22*'Нормы по школам-интернатам'!F23/'Нормы по школам-интернатам'!B23</f>
        <v>0</v>
      </c>
      <c r="H22" s="80">
        <f>B22*'Нормы по школам-интернатам'!G23/'Нормы по школам-интернатам'!B23</f>
        <v>0</v>
      </c>
      <c r="I22" s="105"/>
      <c r="J22" s="131">
        <f t="shared" si="1"/>
        <v>0</v>
      </c>
      <c r="K22" s="125">
        <f>I22*100/'Нормы по школам-интернатам'!I23</f>
        <v>0</v>
      </c>
      <c r="L22" s="81">
        <f>I22*'Нормы по школам-интернатам'!J23/'Нормы по школам-интернатам'!H23</f>
        <v>0</v>
      </c>
      <c r="M22" s="81">
        <f>I22*'Нормы по школам-интернатам'!K23/'Нормы по школам-интернатам'!H23</f>
        <v>0</v>
      </c>
      <c r="N22" s="81">
        <f>I22*'Нормы по школам-интернатам'!L23/'Нормы по школам-интернатам'!H23</f>
        <v>0</v>
      </c>
      <c r="O22" s="82">
        <f>I22*'Нормы по школам-интернатам'!M23/'Нормы по школам-интернатам'!H23</f>
        <v>0</v>
      </c>
    </row>
    <row r="23" spans="1:15" s="27" customFormat="1" ht="15" customHeight="1">
      <c r="A23" s="109" t="s">
        <v>71</v>
      </c>
      <c r="B23" s="105"/>
      <c r="C23" s="131">
        <f t="shared" si="0"/>
        <v>0</v>
      </c>
      <c r="D23" s="125">
        <f>B23*100/'Нормы по школам-интернатам'!C24</f>
        <v>0</v>
      </c>
      <c r="E23" s="79">
        <f>B23*'Нормы по школам-интернатам'!D24/'Нормы по школам-интернатам'!B24</f>
        <v>0</v>
      </c>
      <c r="F23" s="79">
        <f>B23*'Нормы по школам-интернатам'!E24/'Нормы по школам-интернатам'!B24</f>
        <v>0</v>
      </c>
      <c r="G23" s="79">
        <f>B23*'Нормы по школам-интернатам'!F24/'Нормы по школам-интернатам'!B24</f>
        <v>0</v>
      </c>
      <c r="H23" s="80">
        <f>B23*'Нормы по школам-интернатам'!G24/'Нормы по школам-интернатам'!B24</f>
        <v>0</v>
      </c>
      <c r="I23" s="105"/>
      <c r="J23" s="131">
        <f t="shared" si="1"/>
        <v>0</v>
      </c>
      <c r="K23" s="125">
        <f>I23*100/'Нормы по школам-интернатам'!I24</f>
        <v>0</v>
      </c>
      <c r="L23" s="81">
        <f>I23*'Нормы по школам-интернатам'!J24/'Нормы по школам-интернатам'!H24</f>
        <v>0</v>
      </c>
      <c r="M23" s="81">
        <f>I23*'Нормы по школам-интернатам'!K24/'Нормы по школам-интернатам'!H24</f>
        <v>0</v>
      </c>
      <c r="N23" s="81">
        <f>I23*'Нормы по школам-интернатам'!L24/'Нормы по школам-интернатам'!H24</f>
        <v>0</v>
      </c>
      <c r="O23" s="82">
        <f>I23*'Нормы по школам-интернатам'!M24/'Нормы по школам-интернатам'!H24</f>
        <v>0</v>
      </c>
    </row>
    <row r="24" spans="1:15" s="27" customFormat="1" ht="15" customHeight="1">
      <c r="A24" s="97" t="s">
        <v>14</v>
      </c>
      <c r="B24" s="105"/>
      <c r="C24" s="131">
        <f t="shared" si="0"/>
        <v>0</v>
      </c>
      <c r="D24" s="125">
        <f>B24*100/'Нормы по школам-интернатам'!C25</f>
        <v>0</v>
      </c>
      <c r="E24" s="79">
        <f>B24*'Нормы по школам-интернатам'!D25/'Нормы по школам-интернатам'!B25</f>
        <v>0</v>
      </c>
      <c r="F24" s="79">
        <f>B24*'Нормы по школам-интернатам'!E25/'Нормы по школам-интернатам'!B25</f>
        <v>0</v>
      </c>
      <c r="G24" s="79">
        <f>B24*'Нормы по школам-интернатам'!F25/'Нормы по школам-интернатам'!B25</f>
        <v>0</v>
      </c>
      <c r="H24" s="80">
        <f>B24*'Нормы по школам-интернатам'!G25/'Нормы по школам-интернатам'!B25</f>
        <v>0</v>
      </c>
      <c r="I24" s="105"/>
      <c r="J24" s="131">
        <f t="shared" si="1"/>
        <v>0</v>
      </c>
      <c r="K24" s="125">
        <f>I24*100/'Нормы по школам-интернатам'!I25</f>
        <v>0</v>
      </c>
      <c r="L24" s="81">
        <f>I24*'Нормы по школам-интернатам'!J25/'Нормы по школам-интернатам'!H25</f>
        <v>0</v>
      </c>
      <c r="M24" s="81">
        <f>I24*'Нормы по школам-интернатам'!K25/'Нормы по школам-интернатам'!H25</f>
        <v>0</v>
      </c>
      <c r="N24" s="81">
        <f>I24*'Нормы по школам-интернатам'!L25/'Нормы по школам-интернатам'!H25</f>
        <v>0</v>
      </c>
      <c r="O24" s="82">
        <f>I24*'Нормы по школам-интернатам'!M25/'Нормы по школам-интернатам'!H25</f>
        <v>0</v>
      </c>
    </row>
    <row r="25" spans="1:15" s="27" customFormat="1" ht="15" customHeight="1">
      <c r="A25" s="97" t="s">
        <v>16</v>
      </c>
      <c r="B25" s="105">
        <v>0</v>
      </c>
      <c r="C25" s="131">
        <f>B25*'Нормы по школам-интернатам'!C26/'Нормы по школам-интернатам'!B26</f>
        <v>0</v>
      </c>
      <c r="D25" s="125">
        <f>B25*100/'Нормы по школам-интернатам'!C26</f>
        <v>0</v>
      </c>
      <c r="E25" s="79">
        <f>B25*'Нормы по школам-интернатам'!D26/'Нормы по школам-интернатам'!B26</f>
        <v>0</v>
      </c>
      <c r="F25" s="79">
        <f>B25*'Нормы по школам-интернатам'!E26/'Нормы по школам-интернатам'!B26</f>
        <v>0</v>
      </c>
      <c r="G25" s="79">
        <f>B25*'Нормы по школам-интернатам'!F26/'Нормы по школам-интернатам'!B26</f>
        <v>0</v>
      </c>
      <c r="H25" s="80">
        <f>B25*'Нормы по школам-интернатам'!G26/'Нормы по школам-интернатам'!B26</f>
        <v>0</v>
      </c>
      <c r="I25" s="105">
        <v>0.4</v>
      </c>
      <c r="J25" s="131">
        <f t="shared" si="1"/>
        <v>0.4</v>
      </c>
      <c r="K25" s="125">
        <f>I25*100/'Нормы по школам-интернатам'!I26</f>
        <v>3.389830508474576</v>
      </c>
      <c r="L25" s="81">
        <f>I25*'Нормы по школам-интернатам'!J26/'Нормы по школам-интернатам'!H26</f>
        <v>0.10344666666666669</v>
      </c>
      <c r="M25" s="81">
        <f>I25*'Нормы по школам-интернатам'!K26/'Нормы по школам-интернатам'!H26</f>
        <v>0.1046266666666667</v>
      </c>
      <c r="N25" s="81">
        <f>I25*'Нормы по школам-интернатам'!L26/'Нормы по школам-интернатам'!H26</f>
        <v>0</v>
      </c>
      <c r="O25" s="82">
        <f>I25*'Нормы по школам-интернатам'!M26/'Нормы по школам-интернатам'!H26</f>
        <v>1.3766666666666667</v>
      </c>
    </row>
    <row r="26" spans="1:15" s="27" customFormat="1" ht="15" customHeight="1">
      <c r="A26" s="97" t="s">
        <v>15</v>
      </c>
      <c r="B26" s="105">
        <v>7.5</v>
      </c>
      <c r="C26" s="131">
        <f t="shared" si="0"/>
        <v>7.5</v>
      </c>
      <c r="D26" s="125">
        <f>B26*100/'Нормы по школам-интернатам'!C27</f>
        <v>75</v>
      </c>
      <c r="E26" s="79">
        <f>B26*'Нормы по школам-интернатам'!D27/'Нормы по школам-интернатам'!B27</f>
        <v>0.195</v>
      </c>
      <c r="F26" s="79">
        <f>B26*'Нормы по школам-интернатам'!E27/'Нормы по школам-интернатам'!B27</f>
        <v>1.125</v>
      </c>
      <c r="G26" s="79">
        <f>B26*'Нормы по школам-интернатам'!F27/'Нормы по школам-интернатам'!B27</f>
        <v>0.26999999999999996</v>
      </c>
      <c r="H26" s="80">
        <f>B26*'Нормы по школам-интернатам'!G27/'Нормы по школам-интернатам'!B27</f>
        <v>12.15</v>
      </c>
      <c r="I26" s="105">
        <v>7.5</v>
      </c>
      <c r="J26" s="131">
        <f t="shared" si="1"/>
        <v>7.5</v>
      </c>
      <c r="K26" s="125">
        <f>I26*100/'Нормы по школам-интернатам'!I27</f>
        <v>75</v>
      </c>
      <c r="L26" s="81">
        <f>I26*'Нормы по школам-интернатам'!J27/'Нормы по школам-интернатам'!H27</f>
        <v>0.195</v>
      </c>
      <c r="M26" s="81">
        <f>I26*'Нормы по школам-интернатам'!K27/'Нормы по школам-интернатам'!H27</f>
        <v>1.125</v>
      </c>
      <c r="N26" s="81">
        <f>I26*'Нормы по школам-интернатам'!L27/'Нормы по школам-интернатам'!H27</f>
        <v>0.26999999999999996</v>
      </c>
      <c r="O26" s="82">
        <f>I26*'Нормы по школам-интернатам'!M27/'Нормы по школам-интернатам'!H27</f>
        <v>12.15</v>
      </c>
    </row>
    <row r="27" spans="1:15" s="27" customFormat="1" ht="15" customHeight="1">
      <c r="A27" s="97" t="s">
        <v>12</v>
      </c>
      <c r="B27" s="105">
        <v>6.1</v>
      </c>
      <c r="C27" s="131">
        <f t="shared" si="0"/>
        <v>6.1</v>
      </c>
      <c r="D27" s="125">
        <f>B27*100/'Нормы по школам-интернатам'!C28</f>
        <v>20.333333333333332</v>
      </c>
      <c r="E27" s="79">
        <f>B27*'Нормы по школам-интернатам'!D28/'Нормы по школам-интернатам'!B28</f>
        <v>0.030499999999999996</v>
      </c>
      <c r="F27" s="79">
        <f>B27*'Нормы по школам-интернатам'!E28/'Нормы по школам-интернатам'!B28</f>
        <v>5.0325</v>
      </c>
      <c r="G27" s="79">
        <f>B27*'Нормы по школам-интернатам'!F28/'Нормы по школам-интернатам'!B28</f>
        <v>0.048799999999999996</v>
      </c>
      <c r="H27" s="80">
        <f>B27*'Нормы по школам-интернатам'!G28/'Нормы по школам-интернатам'!B28</f>
        <v>45.628</v>
      </c>
      <c r="I27" s="105">
        <v>7.6</v>
      </c>
      <c r="J27" s="131">
        <f t="shared" si="1"/>
        <v>7.6</v>
      </c>
      <c r="K27" s="125">
        <f>I27*100/'Нормы по школам-интернатам'!I28</f>
        <v>21.714285714285715</v>
      </c>
      <c r="L27" s="81">
        <f>I27*'Нормы по школам-интернатам'!J28/'Нормы по школам-интернатам'!H28</f>
        <v>0.038</v>
      </c>
      <c r="M27" s="81">
        <f>I27*'Нормы по школам-интернатам'!K28/'Нормы по школам-интернатам'!H28</f>
        <v>6.27</v>
      </c>
      <c r="N27" s="81">
        <f>I27*'Нормы по школам-интернатам'!L28/'Нормы по школам-интернатам'!H28</f>
        <v>0.0608</v>
      </c>
      <c r="O27" s="82">
        <f>I27*'Нормы по школам-интернатам'!M28/'Нормы по школам-интернатам'!H28</f>
        <v>56.848</v>
      </c>
    </row>
    <row r="28" spans="1:15" s="27" customFormat="1" ht="15" customHeight="1">
      <c r="A28" s="98" t="s">
        <v>13</v>
      </c>
      <c r="B28" s="105">
        <v>12.4</v>
      </c>
      <c r="C28" s="131">
        <f t="shared" si="0"/>
        <v>12.4</v>
      </c>
      <c r="D28" s="125">
        <f>B28*100/'Нормы по школам-интернатам'!C29</f>
        <v>82.66666666666667</v>
      </c>
      <c r="E28" s="79">
        <f>B28*'Нормы по школам-интернатам'!D29/'Нормы по школам-интернатам'!B29</f>
        <v>0</v>
      </c>
      <c r="F28" s="79">
        <f>B28*'Нормы по школам-интернатам'!E29/'Нормы по школам-интернатам'!B29</f>
        <v>12.387599999999999</v>
      </c>
      <c r="G28" s="79">
        <f>B28*'Нормы по школам-интернатам'!F29/'Нормы по школам-интернатам'!B29</f>
        <v>0</v>
      </c>
      <c r="H28" s="80">
        <f>B28*'Нормы по школам-интернатам'!G29/'Нормы по школам-интернатам'!B29</f>
        <v>111.47599999999998</v>
      </c>
      <c r="I28" s="105">
        <v>15.4</v>
      </c>
      <c r="J28" s="131">
        <f t="shared" si="1"/>
        <v>15.4</v>
      </c>
      <c r="K28" s="125">
        <f>I28*100/'Нормы по школам-интернатам'!I29</f>
        <v>85.55555555555556</v>
      </c>
      <c r="L28" s="81">
        <f>I28*'Нормы по школам-интернатам'!J29/'Нормы по школам-интернатам'!H29</f>
        <v>0</v>
      </c>
      <c r="M28" s="81">
        <f>I28*'Нормы по школам-интернатам'!K29/'Нормы по школам-интернатам'!H29</f>
        <v>15.384599999999999</v>
      </c>
      <c r="N28" s="81">
        <f>I28*'Нормы по школам-интернатам'!L29/'Нормы по школам-интернатам'!H29</f>
        <v>0</v>
      </c>
      <c r="O28" s="82">
        <f>I28*'Нормы по школам-интернатам'!M29/'Нормы по школам-интернатам'!H29</f>
        <v>138.446</v>
      </c>
    </row>
    <row r="29" spans="1:15" s="27" customFormat="1" ht="15" customHeight="1">
      <c r="A29" s="97" t="s">
        <v>34</v>
      </c>
      <c r="B29" s="105">
        <v>0.01</v>
      </c>
      <c r="C29" s="131">
        <f>B29*'Нормы по школам-интернатам'!C30/'Нормы по школам-интернатам'!B30</f>
        <v>0.4</v>
      </c>
      <c r="D29" s="125">
        <f>B29*100/'Нормы по школам-интернатам'!C30</f>
        <v>0.025</v>
      </c>
      <c r="E29" s="79">
        <f>B29*'Нормы по школам-интернатам'!D30/'Нормы по школам-интернатам'!B30</f>
        <v>0.050800000000000005</v>
      </c>
      <c r="F29" s="79">
        <f>B29*'Нормы по школам-интернатам'!E30/'Нормы по школам-интернатам'!B30</f>
        <v>0.046</v>
      </c>
      <c r="G29" s="79">
        <f>B29*'Нормы по школам-интернатам'!F30/'Нормы по школам-интернатам'!B30</f>
        <v>0.0028000000000000004</v>
      </c>
      <c r="H29" s="80">
        <f>B29*'Нормы по школам-интернатам'!G30/'Нормы по школам-интернатам'!B30</f>
        <v>0.628</v>
      </c>
      <c r="I29" s="105">
        <v>0.01</v>
      </c>
      <c r="J29" s="131">
        <f t="shared" si="1"/>
        <v>0.01</v>
      </c>
      <c r="K29" s="125">
        <f>I29*100/'Нормы по школам-интернатам'!I30</f>
        <v>0.025</v>
      </c>
      <c r="L29" s="81">
        <f>I29*'Нормы по школам-интернатам'!J30/'Нормы по школам-интернатам'!H30</f>
        <v>0.050800000000000005</v>
      </c>
      <c r="M29" s="81">
        <f>I29*'Нормы по школам-интернатам'!K30/'Нормы по школам-интернатам'!H30</f>
        <v>0.046</v>
      </c>
      <c r="N29" s="81">
        <f>I29*'Нормы по школам-интернатам'!L30/'Нормы по школам-интернатам'!H30</f>
        <v>0.0028000000000000004</v>
      </c>
      <c r="O29" s="82">
        <f>I29*'Нормы по школам-интернатам'!M30/'Нормы по школам-интернатам'!H30</f>
        <v>0.628</v>
      </c>
    </row>
    <row r="30" spans="1:15" s="27" customFormat="1" ht="15" customHeight="1">
      <c r="A30" s="98" t="s">
        <v>11</v>
      </c>
      <c r="B30" s="105">
        <v>12.2</v>
      </c>
      <c r="C30" s="131">
        <f t="shared" si="0"/>
        <v>12.2</v>
      </c>
      <c r="D30" s="125">
        <f>B30*100/'Нормы по школам-интернатам'!C31</f>
        <v>30.5</v>
      </c>
      <c r="E30" s="79">
        <f>B30*'Нормы по школам-интернатам'!D31/'Нормы по школам-интернатам'!B31</f>
        <v>0</v>
      </c>
      <c r="F30" s="79">
        <f>B30*'Нормы по школам-интернатам'!E31/'Нормы по школам-интернатам'!B31</f>
        <v>0</v>
      </c>
      <c r="G30" s="79">
        <f>B30*'Нормы по школам-интернатам'!F31/'Нормы по школам-интернатам'!B31</f>
        <v>12.1756</v>
      </c>
      <c r="H30" s="80">
        <f>B30*'Нормы по школам-интернатам'!G31/'Нормы по школам-интернатам'!B31</f>
        <v>48.678</v>
      </c>
      <c r="I30" s="105">
        <v>11.8</v>
      </c>
      <c r="J30" s="131">
        <f t="shared" si="1"/>
        <v>11.8</v>
      </c>
      <c r="K30" s="125">
        <f>I30*100/'Нормы по школам-интернатам'!I31</f>
        <v>26.22222222222222</v>
      </c>
      <c r="L30" s="81">
        <f>I30*'Нормы по школам-интернатам'!J31/'Нормы по школам-интернатам'!H31</f>
        <v>0</v>
      </c>
      <c r="M30" s="81">
        <f>I30*'Нормы по школам-интернатам'!K31/'Нормы по школам-интернатам'!H31</f>
        <v>0</v>
      </c>
      <c r="N30" s="81">
        <f>I30*'Нормы по школам-интернатам'!L31/'Нормы по школам-интернатам'!H31</f>
        <v>11.776399999999999</v>
      </c>
      <c r="O30" s="82">
        <f>I30*'Нормы по школам-интернатам'!M31/'Нормы по школам-интернатам'!H31</f>
        <v>47.082</v>
      </c>
    </row>
    <row r="31" spans="1:15" s="27" customFormat="1" ht="15" customHeight="1">
      <c r="A31" s="97" t="s">
        <v>10</v>
      </c>
      <c r="B31" s="105">
        <v>0</v>
      </c>
      <c r="C31" s="131">
        <f t="shared" si="0"/>
        <v>0</v>
      </c>
      <c r="D31" s="125">
        <f>B31*100/'Нормы по школам-интернатам'!C32</f>
        <v>0</v>
      </c>
      <c r="E31" s="79">
        <f>B31*'Нормы по школам-интернатам'!D32/'Нормы по школам-интернатам'!B32</f>
        <v>0</v>
      </c>
      <c r="F31" s="79">
        <f>B31*'Нормы по школам-интернатам'!E32/'Нормы по школам-интернатам'!B32</f>
        <v>0</v>
      </c>
      <c r="G31" s="79">
        <f>B31*'Нормы по школам-интернатам'!F32/'Нормы по школам-интернатам'!B32</f>
        <v>0</v>
      </c>
      <c r="H31" s="80">
        <f>B31*'Нормы по школам-интернатам'!G32/'Нормы по школам-интернатам'!B32</f>
        <v>0</v>
      </c>
      <c r="I31" s="105">
        <v>0</v>
      </c>
      <c r="J31" s="131">
        <f t="shared" si="1"/>
        <v>0</v>
      </c>
      <c r="K31" s="125">
        <f>I31*100/'Нормы по школам-интернатам'!I32</f>
        <v>0</v>
      </c>
      <c r="L31" s="81">
        <f>I31*'Нормы по школам-интернатам'!J32/'Нормы по школам-интернатам'!H32</f>
        <v>0</v>
      </c>
      <c r="M31" s="81">
        <f>I31*'Нормы по школам-интернатам'!K32/'Нормы по школам-интернатам'!H32</f>
        <v>0</v>
      </c>
      <c r="N31" s="81">
        <f>I31*'Нормы по школам-интернатам'!L32/'Нормы по школам-интернатам'!H32</f>
        <v>0</v>
      </c>
      <c r="O31" s="82">
        <f>I31*'Нормы по школам-интернатам'!M32/'Нормы по школам-интернатам'!H32</f>
        <v>0</v>
      </c>
    </row>
    <row r="32" spans="1:15" ht="15" customHeight="1">
      <c r="A32" s="95" t="s">
        <v>17</v>
      </c>
      <c r="B32" s="105">
        <v>0</v>
      </c>
      <c r="C32" s="131">
        <f t="shared" si="0"/>
        <v>0</v>
      </c>
      <c r="D32" s="125">
        <f>B32*100/'Нормы по школам-интернатам'!C33</f>
        <v>0</v>
      </c>
      <c r="E32" s="79">
        <f>B32*'Нормы по школам-интернатам'!D33/'Нормы по школам-интернатам'!B33</f>
        <v>0</v>
      </c>
      <c r="F32" s="79">
        <f>B32*'Нормы по школам-интернатам'!E33/'Нормы по школам-интернатам'!B33</f>
        <v>0</v>
      </c>
      <c r="G32" s="79">
        <f>B32*'Нормы по школам-интернатам'!F33/'Нормы по школам-интернатам'!B33</f>
        <v>0</v>
      </c>
      <c r="H32" s="80">
        <f>B32*'Нормы по школам-интернатам'!G33/'Нормы по школам-интернатам'!B33</f>
        <v>0</v>
      </c>
      <c r="I32" s="105">
        <v>0</v>
      </c>
      <c r="J32" s="131">
        <f t="shared" si="1"/>
        <v>0</v>
      </c>
      <c r="K32" s="125">
        <f>I32*100/'Нормы по школам-интернатам'!I33</f>
        <v>0</v>
      </c>
      <c r="L32" s="81">
        <f>I32*'Нормы по школам-интернатам'!J33/'Нормы по школам-интернатам'!H33</f>
        <v>0</v>
      </c>
      <c r="M32" s="81">
        <f>I32*'Нормы по школам-интернатам'!K33/'Нормы по школам-интернатам'!H33</f>
        <v>0</v>
      </c>
      <c r="N32" s="81">
        <f>I32*'Нормы по школам-интернатам'!L33/'Нормы по школам-интернатам'!H33</f>
        <v>0</v>
      </c>
      <c r="O32" s="82">
        <f>I32*'Нормы по школам-интернатам'!M33/'Нормы по школам-интернатам'!H33</f>
        <v>0</v>
      </c>
    </row>
    <row r="33" spans="1:15" ht="15" customHeight="1">
      <c r="A33" s="95" t="s">
        <v>26</v>
      </c>
      <c r="B33" s="105"/>
      <c r="C33" s="131">
        <f t="shared" si="0"/>
        <v>0</v>
      </c>
      <c r="D33" s="125">
        <f>B33*100/'Нормы по школам-интернатам'!C34</f>
        <v>0</v>
      </c>
      <c r="E33" s="79">
        <f>B33*'Нормы по школам-интернатам'!D34/'Нормы по школам-интернатам'!B34</f>
        <v>0</v>
      </c>
      <c r="F33" s="79">
        <f>B33*'Нормы по школам-интернатам'!E34/'Нормы по школам-интернатам'!B34</f>
        <v>0</v>
      </c>
      <c r="G33" s="79">
        <f>B33*'Нормы по школам-интернатам'!F34/'Нормы по школам-интернатам'!B34</f>
        <v>0</v>
      </c>
      <c r="H33" s="80">
        <f>B33*'Нормы по школам-интернатам'!G34/'Нормы по школам-интернатам'!B34</f>
        <v>0</v>
      </c>
      <c r="I33" s="105"/>
      <c r="J33" s="131">
        <f t="shared" si="1"/>
        <v>0</v>
      </c>
      <c r="K33" s="125">
        <f>I33*100/'Нормы по школам-интернатам'!I34</f>
        <v>0</v>
      </c>
      <c r="L33" s="81">
        <f>I33*'Нормы по школам-интернатам'!J34/'Нормы по школам-интернатам'!H34</f>
        <v>0</v>
      </c>
      <c r="M33" s="81">
        <f>I33*'Нормы по школам-интернатам'!K34/'Нормы по школам-интернатам'!H34</f>
        <v>0</v>
      </c>
      <c r="N33" s="81">
        <f>I33*'Нормы по школам-интернатам'!L34/'Нормы по школам-интернатам'!H34</f>
        <v>0</v>
      </c>
      <c r="O33" s="82">
        <f>I33*'Нормы по школам-интернатам'!M34/'Нормы по школам-интернатам'!H34</f>
        <v>0</v>
      </c>
    </row>
    <row r="34" spans="1:15" ht="15" customHeight="1">
      <c r="A34" s="95" t="s">
        <v>19</v>
      </c>
      <c r="B34" s="105">
        <v>0</v>
      </c>
      <c r="C34" s="131">
        <f t="shared" si="0"/>
        <v>0</v>
      </c>
      <c r="D34" s="125">
        <f>B34*100/'Нормы по школам-интернатам'!C35</f>
        <v>0</v>
      </c>
      <c r="E34" s="79">
        <f>B34*'Нормы по школам-интернатам'!D35/'Нормы по школам-интернатам'!B35</f>
        <v>0</v>
      </c>
      <c r="F34" s="79">
        <f>B34*'Нормы по школам-интернатам'!E35/'Нормы по школам-интернатам'!B35</f>
        <v>0</v>
      </c>
      <c r="G34" s="79">
        <f>B34*'Нормы по школам-интернатам'!F35/'Нормы по школам-интернатам'!B35</f>
        <v>0</v>
      </c>
      <c r="H34" s="80">
        <f>B34*'Нормы по школам-интернатам'!G35/'Нормы по школам-интернатам'!B35</f>
        <v>0</v>
      </c>
      <c r="I34" s="105">
        <v>0</v>
      </c>
      <c r="J34" s="131">
        <f t="shared" si="1"/>
        <v>0</v>
      </c>
      <c r="K34" s="125">
        <f>I34*100/'Нормы по школам-интернатам'!I35</f>
        <v>0</v>
      </c>
      <c r="L34" s="81">
        <f>I34*'Нормы по школам-интернатам'!J35/'Нормы по школам-интернатам'!H35</f>
        <v>0</v>
      </c>
      <c r="M34" s="81">
        <f>I34*'Нормы по школам-интернатам'!K35/'Нормы по школам-интернатам'!H35</f>
        <v>0</v>
      </c>
      <c r="N34" s="81">
        <f>I34*'Нормы по школам-интернатам'!L35/'Нормы по школам-интернатам'!H35</f>
        <v>0</v>
      </c>
      <c r="O34" s="82">
        <f>I34*'Нормы по школам-интернатам'!M35/'Нормы по школам-интернатам'!H35</f>
        <v>0</v>
      </c>
    </row>
    <row r="35" spans="1:15" ht="15" customHeight="1" thickBot="1">
      <c r="A35" s="99" t="s">
        <v>18</v>
      </c>
      <c r="B35" s="106">
        <v>6.3</v>
      </c>
      <c r="C35" s="132">
        <f>B35</f>
        <v>6.3</v>
      </c>
      <c r="D35" s="127">
        <f>B35*100/'Нормы по школам-интернатам'!C36</f>
        <v>126</v>
      </c>
      <c r="E35" s="102">
        <f>B35*'Нормы по школам-интернатам'!D36/'Нормы по школам-интернатам'!B36</f>
        <v>0</v>
      </c>
      <c r="F35" s="102">
        <f>B35*'Нормы по школам-интернатам'!E36/'Нормы по школам-интернатам'!B36</f>
        <v>0</v>
      </c>
      <c r="G35" s="102">
        <f>B35*'Нормы по школам-интернатам'!F35/'Нормы по школам-интернатам'!B35</f>
        <v>0.5355</v>
      </c>
      <c r="H35" s="103">
        <f>B35*'Нормы по школам-интернатам'!G35/'Нормы по школам-интернатам'!B35</f>
        <v>6.867</v>
      </c>
      <c r="I35" s="106">
        <v>6.7</v>
      </c>
      <c r="J35" s="132">
        <f>I35</f>
        <v>6.7</v>
      </c>
      <c r="K35" s="127">
        <f>I35*100/'Нормы по школам-интернатам'!I36</f>
        <v>95.71428571428571</v>
      </c>
      <c r="L35" s="128">
        <f>I35*'Нормы по школам-интернатам'!J36/'Нормы по школам-интернатам'!H36</f>
        <v>0</v>
      </c>
      <c r="M35" s="128">
        <f>I35*'Нормы по школам-интернатам'!K36/'Нормы по школам-интернатам'!H36</f>
        <v>0</v>
      </c>
      <c r="N35" s="128">
        <f>I35*'Нормы по школам-интернатам'!L36/'Нормы по школам-интернатам'!H36</f>
        <v>0</v>
      </c>
      <c r="O35" s="129">
        <f>I35*'Нормы по школам-интернатам'!M36/'Нормы по школам-интернатам'!H36</f>
        <v>0</v>
      </c>
    </row>
    <row r="36" spans="1:15" ht="15" customHeight="1">
      <c r="A36" s="83" t="s">
        <v>24</v>
      </c>
      <c r="B36" s="84"/>
      <c r="C36" s="84"/>
      <c r="D36" s="85"/>
      <c r="E36" s="133" t="s">
        <v>20</v>
      </c>
      <c r="F36" s="134" t="s">
        <v>21</v>
      </c>
      <c r="G36" s="134" t="s">
        <v>22</v>
      </c>
      <c r="H36" s="115" t="s">
        <v>23</v>
      </c>
      <c r="I36" s="86"/>
      <c r="J36" s="86"/>
      <c r="K36" s="86"/>
      <c r="L36" s="133" t="s">
        <v>20</v>
      </c>
      <c r="M36" s="134" t="s">
        <v>21</v>
      </c>
      <c r="N36" s="134" t="s">
        <v>22</v>
      </c>
      <c r="O36" s="115" t="s">
        <v>23</v>
      </c>
    </row>
    <row r="37" spans="1:15" ht="13.5" customHeight="1">
      <c r="A37" s="34" t="s">
        <v>37</v>
      </c>
      <c r="B37" s="87"/>
      <c r="C37" s="87"/>
      <c r="D37" s="88"/>
      <c r="E37" s="89">
        <f>SUM(E4:E35)</f>
        <v>36.509596166666675</v>
      </c>
      <c r="F37" s="90">
        <f>SUM(F4:F35)</f>
        <v>37.25608023333333</v>
      </c>
      <c r="G37" s="90">
        <f>SUM(G4:G35)</f>
        <v>126.3520701333333</v>
      </c>
      <c r="H37" s="91">
        <f>SUM(H4:H35)</f>
        <v>1001.6097220000001</v>
      </c>
      <c r="I37" s="92"/>
      <c r="J37" s="92"/>
      <c r="K37" s="93"/>
      <c r="L37" s="89">
        <f>SUM(L4:L35)</f>
        <v>43.16475147480621</v>
      </c>
      <c r="M37" s="90">
        <f>SUM(M4:M35)</f>
        <v>41.86190162635659</v>
      </c>
      <c r="N37" s="90">
        <f>SUM(N4:N35)</f>
        <v>168.6459630666667</v>
      </c>
      <c r="O37" s="91">
        <f>SUM(O4:O35)</f>
        <v>1234.2266216007752</v>
      </c>
    </row>
    <row r="38" spans="1:15" s="124" customFormat="1" ht="15" customHeight="1" thickBot="1">
      <c r="A38" s="33" t="s">
        <v>28</v>
      </c>
      <c r="B38" s="38"/>
      <c r="C38" s="38"/>
      <c r="D38" s="30"/>
      <c r="E38" s="135">
        <f>100*E37/'Нормы по школам-интернатам'!B38</f>
        <v>27.08321774623708</v>
      </c>
      <c r="F38" s="136">
        <f>100*F37/'Нормы по школам-интернатам'!B39</f>
        <v>39.72080689810272</v>
      </c>
      <c r="G38" s="136">
        <f>100*G37/'Нормы по школам-интернатам'!B40</f>
        <v>37.38998431262667</v>
      </c>
      <c r="H38" s="137">
        <f>100*H37/'Нормы по школам-интернатам'!B41</f>
        <v>38.15286874778531</v>
      </c>
      <c r="I38" s="119"/>
      <c r="J38" s="119"/>
      <c r="K38" s="120"/>
      <c r="L38" s="138">
        <f>100*L37/'Нормы по школам-интернатам'!H38</f>
        <v>27.29644690403545</v>
      </c>
      <c r="M38" s="139">
        <f>100*M37/'Нормы по школам-интернатам'!H39</f>
        <v>37.818309451469425</v>
      </c>
      <c r="N38" s="139">
        <f>100*N37/'Нормы по школам-интернатам'!H40</f>
        <v>41.40427363733055</v>
      </c>
      <c r="O38" s="140">
        <f>100*O37/'Нормы по школам-интернатам'!H41</f>
        <v>39.27477750404609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A75" sheet="1" formatCells="0" formatColumns="0" formatRows="0"/>
  <mergeCells count="4">
    <mergeCell ref="B1:O1"/>
    <mergeCell ref="A2:A3"/>
    <mergeCell ref="B2:H2"/>
    <mergeCell ref="I2:O2"/>
  </mergeCells>
  <printOptions/>
  <pageMargins left="0.24" right="0.29" top="0.19" bottom="0.15" header="0" footer="0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84" zoomScaleNormal="84" zoomScalePageLayoutView="0" workbookViewId="0" topLeftCell="A1">
      <pane xSplit="1" ySplit="3" topLeftCell="B4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D40" sqref="D40"/>
    </sheetView>
  </sheetViews>
  <sheetFormatPr defaultColWidth="9.140625" defaultRowHeight="12.75"/>
  <cols>
    <col min="1" max="1" width="25.00390625" style="26" customWidth="1"/>
    <col min="2" max="2" width="7.421875" style="26" customWidth="1"/>
    <col min="3" max="3" width="7.140625" style="26" customWidth="1"/>
    <col min="4" max="4" width="7.57421875" style="26" customWidth="1"/>
    <col min="5" max="5" width="7.140625" style="26" customWidth="1"/>
    <col min="6" max="6" width="7.00390625" style="26" customWidth="1"/>
    <col min="7" max="7" width="10.140625" style="26" customWidth="1"/>
    <col min="8" max="8" width="13.57421875" style="26" customWidth="1"/>
    <col min="9" max="9" width="7.421875" style="26" customWidth="1"/>
    <col min="10" max="10" width="6.8515625" style="26" customWidth="1"/>
    <col min="11" max="11" width="7.57421875" style="26" customWidth="1"/>
    <col min="12" max="12" width="7.28125" style="26" customWidth="1"/>
    <col min="13" max="13" width="6.8515625" style="26" customWidth="1"/>
    <col min="14" max="14" width="10.140625" style="26" customWidth="1"/>
    <col min="15" max="15" width="13.421875" style="26" customWidth="1"/>
    <col min="16" max="16384" width="9.140625" style="26" customWidth="1"/>
  </cols>
  <sheetData>
    <row r="1" spans="1:15" s="24" customFormat="1" ht="15.75" customHeight="1" thickBot="1">
      <c r="A1" s="37" t="s">
        <v>76</v>
      </c>
      <c r="B1" s="153" t="s">
        <v>75</v>
      </c>
      <c r="C1" s="154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  <row r="2" spans="1:15" s="24" customFormat="1" ht="15" customHeight="1">
      <c r="A2" s="157" t="s">
        <v>0</v>
      </c>
      <c r="B2" s="163" t="s">
        <v>48</v>
      </c>
      <c r="C2" s="164"/>
      <c r="D2" s="164"/>
      <c r="E2" s="164"/>
      <c r="F2" s="164"/>
      <c r="G2" s="164"/>
      <c r="H2" s="165"/>
      <c r="I2" s="159" t="s">
        <v>49</v>
      </c>
      <c r="J2" s="160"/>
      <c r="K2" s="161"/>
      <c r="L2" s="161"/>
      <c r="M2" s="161"/>
      <c r="N2" s="161"/>
      <c r="O2" s="162"/>
    </row>
    <row r="3" spans="1:15" s="25" customFormat="1" ht="27" customHeight="1" thickBot="1">
      <c r="A3" s="158"/>
      <c r="B3" s="73" t="s">
        <v>31</v>
      </c>
      <c r="C3" s="112" t="s">
        <v>47</v>
      </c>
      <c r="D3" s="74" t="s">
        <v>28</v>
      </c>
      <c r="E3" s="74" t="s">
        <v>1</v>
      </c>
      <c r="F3" s="74" t="s">
        <v>2</v>
      </c>
      <c r="G3" s="74" t="s">
        <v>3</v>
      </c>
      <c r="H3" s="113" t="s">
        <v>4</v>
      </c>
      <c r="I3" s="73" t="s">
        <v>31</v>
      </c>
      <c r="J3" s="112" t="s">
        <v>47</v>
      </c>
      <c r="K3" s="74" t="s">
        <v>28</v>
      </c>
      <c r="L3" s="74" t="s">
        <v>1</v>
      </c>
      <c r="M3" s="74" t="s">
        <v>2</v>
      </c>
      <c r="N3" s="74" t="s">
        <v>3</v>
      </c>
      <c r="O3" s="113" t="s">
        <v>4</v>
      </c>
    </row>
    <row r="4" spans="1:15" ht="15" customHeight="1">
      <c r="A4" s="94" t="s">
        <v>6</v>
      </c>
      <c r="B4" s="104">
        <v>60</v>
      </c>
      <c r="C4" s="130">
        <f>B4</f>
        <v>60</v>
      </c>
      <c r="D4" s="126">
        <f>B4*100/'Нормы по школам-интернатам'!C5</f>
        <v>75</v>
      </c>
      <c r="E4" s="75">
        <f>B4*'Нормы по школам-интернатам'!D5/'Нормы по школам-интернатам'!B5</f>
        <v>2.94</v>
      </c>
      <c r="F4" s="75">
        <f>B4*'Нормы по школам-интернатам'!E5/'Нормы по школам-интернатам'!B5</f>
        <v>0.6</v>
      </c>
      <c r="G4" s="75">
        <f>B4*'Нормы по школам-интернатам'!F5/'Нормы по школам-интернатам'!B5</f>
        <v>26.880000000000003</v>
      </c>
      <c r="H4" s="76">
        <f>B4*'Нормы по школам-интернатам'!G5/'Нормы по школам-интернатам'!B5</f>
        <v>126</v>
      </c>
      <c r="I4" s="104">
        <v>70.75</v>
      </c>
      <c r="J4" s="130">
        <f>I4</f>
        <v>70.75</v>
      </c>
      <c r="K4" s="126">
        <f>I4*100/'Нормы по школам-интернатам'!I5</f>
        <v>58.958333333333336</v>
      </c>
      <c r="L4" s="77">
        <f>I4*'Нормы по школам-интернатам'!J5/'Нормы по школам-интернатам'!H5</f>
        <v>3.4667499999999998</v>
      </c>
      <c r="M4" s="77">
        <f>I4*'Нормы по школам-интернатам'!K5/'Нормы по школам-интернатам'!H5</f>
        <v>0.7074999999999999</v>
      </c>
      <c r="N4" s="77">
        <f>I4*'Нормы по школам-интернатам'!L5/'Нормы по школам-интернатам'!H5</f>
        <v>31.696</v>
      </c>
      <c r="O4" s="78">
        <f>I4*'Нормы по школам-интернатам'!M5/'Нормы по школам-интернатам'!H5</f>
        <v>148.575</v>
      </c>
    </row>
    <row r="5" spans="1:15" ht="15" customHeight="1">
      <c r="A5" s="95" t="s">
        <v>5</v>
      </c>
      <c r="B5" s="105">
        <v>72.4</v>
      </c>
      <c r="C5" s="131">
        <f>B5</f>
        <v>72.4</v>
      </c>
      <c r="D5" s="125">
        <f>B5*100/'Нормы по школам-интернатам'!C6</f>
        <v>48.26666666666667</v>
      </c>
      <c r="E5" s="79">
        <f>B5*'Нормы по школам-интернатам'!D6/'Нормы по школам-интернатам'!B6</f>
        <v>5.502400000000001</v>
      </c>
      <c r="F5" s="79">
        <f>B5*'Нормы по школам-интернатам'!E6/'Нормы по школам-интернатам'!B6</f>
        <v>0.5792</v>
      </c>
      <c r="G5" s="79">
        <f>B5*'Нормы по школам-интернатам'!F6/'Нормы по школам-интернатам'!B6</f>
        <v>35.6208</v>
      </c>
      <c r="H5" s="80">
        <f>B5*'Нормы по школам-интернатам'!G6/'Нормы по школам-интернатам'!B6</f>
        <v>170.14000000000001</v>
      </c>
      <c r="I5" s="105">
        <v>141.2</v>
      </c>
      <c r="J5" s="131">
        <f>I5</f>
        <v>141.2</v>
      </c>
      <c r="K5" s="125">
        <f>I5*100/'Нормы по школам-интернатам'!I6</f>
        <v>70.6</v>
      </c>
      <c r="L5" s="81">
        <f>I5*'Нормы по школам-интернатам'!J6/'Нормы по школам-интернатам'!H6</f>
        <v>10.7312</v>
      </c>
      <c r="M5" s="81">
        <f>I5*'Нормы по школам-интернатам'!K6/'Нормы по школам-интернатам'!H6</f>
        <v>1.1296</v>
      </c>
      <c r="N5" s="81">
        <f>I5*'Нормы по школам-интернатам'!L6/'Нормы по школам-интернатам'!H6</f>
        <v>69.4704</v>
      </c>
      <c r="O5" s="82">
        <f>I5*'Нормы по школам-интернатам'!M6/'Нормы по школам-интернатам'!H6</f>
        <v>331.82</v>
      </c>
    </row>
    <row r="6" spans="1:15" ht="15" customHeight="1">
      <c r="A6" s="95" t="s">
        <v>7</v>
      </c>
      <c r="B6" s="105">
        <v>36.84</v>
      </c>
      <c r="C6" s="131">
        <f aca="true" t="shared" si="0" ref="C6:C34">B6</f>
        <v>36.84</v>
      </c>
      <c r="D6" s="125">
        <f>B6*100/'Нормы по школам-интернатам'!C7</f>
        <v>245.60000000000002</v>
      </c>
      <c r="E6" s="79">
        <f>B6*'Нормы по школам-интернатам'!D7/'Нормы по школам-интернатам'!B7</f>
        <v>3.978720000000001</v>
      </c>
      <c r="F6" s="79">
        <f>B6*'Нормы по школам-интернатам'!E7/'Нормы по школам-интернатам'!B7</f>
        <v>0.47892000000000007</v>
      </c>
      <c r="G6" s="79">
        <f>B6*'Нормы по школам-интернатам'!F7/'Нормы по школам-интернатам'!B7</f>
        <v>25.751160000000002</v>
      </c>
      <c r="H6" s="80">
        <f>B6*'Нормы по школам-интернатам'!G7/'Нормы по школам-интернатам'!B7</f>
        <v>123.04560000000001</v>
      </c>
      <c r="I6" s="105">
        <v>15.34</v>
      </c>
      <c r="J6" s="131">
        <f aca="true" t="shared" si="1" ref="J6:J34">I6</f>
        <v>15.34</v>
      </c>
      <c r="K6" s="125">
        <f>I6*100/'Нормы по школам-интернатам'!I7</f>
        <v>76.7</v>
      </c>
      <c r="L6" s="81">
        <f>I6*'Нормы по школам-интернатам'!J7/'Нормы по школам-интернатам'!H7</f>
        <v>1.65672</v>
      </c>
      <c r="M6" s="81">
        <f>I6*'Нормы по школам-интернатам'!K7/'Нормы по школам-интернатам'!H7</f>
        <v>0.19942</v>
      </c>
      <c r="N6" s="81">
        <f>I6*'Нормы по школам-интернатам'!L7/'Нормы по школам-интернатам'!H7</f>
        <v>10.722660000000001</v>
      </c>
      <c r="O6" s="82">
        <f>I6*'Нормы по школам-интернатам'!M7/'Нормы по школам-интернатам'!H7</f>
        <v>51.2356</v>
      </c>
    </row>
    <row r="7" spans="1:15" ht="15" customHeight="1">
      <c r="A7" s="95" t="s">
        <v>38</v>
      </c>
      <c r="B7" s="105">
        <v>45.2</v>
      </c>
      <c r="C7" s="131">
        <f t="shared" si="0"/>
        <v>45.2</v>
      </c>
      <c r="D7" s="125">
        <f>B7*100/'Нормы по школам-интернатам'!C8</f>
        <v>100.44444444444444</v>
      </c>
      <c r="E7" s="79">
        <f>B7*'Нормы по школам-интернатам'!D8/'Нормы по школам-интернатам'!B8</f>
        <v>4.9042</v>
      </c>
      <c r="F7" s="79">
        <f>B7*'Нормы по школам-интернатам'!E8/'Нормы по школам-интернатам'!B8</f>
        <v>1.5594000000000001</v>
      </c>
      <c r="G7" s="79">
        <f>B7*'Нормы по школам-интернатам'!F8/'Нормы по школам-интернатам'!B8</f>
        <v>29.312199999999994</v>
      </c>
      <c r="H7" s="80">
        <f>B7*'Нормы по школам-интернатам'!G8/'Нормы по школам-интернатам'!B8</f>
        <v>150.85500000000002</v>
      </c>
      <c r="I7" s="105">
        <v>70.1</v>
      </c>
      <c r="J7" s="131">
        <f t="shared" si="1"/>
        <v>70.1</v>
      </c>
      <c r="K7" s="125">
        <f>I7*100/'Нормы по школам-интернатам'!I8</f>
        <v>140.2</v>
      </c>
      <c r="L7" s="81">
        <f>I7*'Нормы по школам-интернатам'!J8/'Нормы по школам-интернатам'!H8</f>
        <v>7.605849999999999</v>
      </c>
      <c r="M7" s="81">
        <f>I7*'Нормы по школам-интернатам'!K8/'Нормы по школам-интернатам'!H8</f>
        <v>2.41845</v>
      </c>
      <c r="N7" s="81">
        <f>I7*'Нормы по школам-интернатам'!L8/'Нормы по школам-интернатам'!H8</f>
        <v>45.459849999999996</v>
      </c>
      <c r="O7" s="82">
        <f>I7*'Нормы по школам-интернатам'!M8/'Нормы по школам-интернатам'!H8</f>
        <v>233.95874999999995</v>
      </c>
    </row>
    <row r="8" spans="1:15" ht="15" customHeight="1">
      <c r="A8" s="95" t="s">
        <v>39</v>
      </c>
      <c r="B8" s="105">
        <v>16.45</v>
      </c>
      <c r="C8" s="131">
        <f t="shared" si="0"/>
        <v>16.45</v>
      </c>
      <c r="D8" s="125">
        <f>B8*100/'Нормы по школам-интернатам'!C9</f>
        <v>109.66666666666667</v>
      </c>
      <c r="E8" s="79">
        <f>B8*'Нормы по школам-интернатам'!D9/'Нормы по школам-интернатам'!B9</f>
        <v>1.8094999999999999</v>
      </c>
      <c r="F8" s="79">
        <f>B8*'Нормы по школам-интернатам'!E9/'Нормы по школам-интернатам'!B9</f>
        <v>0.21384999999999998</v>
      </c>
      <c r="G8" s="79">
        <f>B8*'Нормы по школам-интернатам'!F9/'Нормы по школам-интернатам'!B9</f>
        <v>11.597249999999999</v>
      </c>
      <c r="H8" s="80">
        <f>B8*'Нормы по школам-интернатам'!G9/'Нормы по школам-интернатам'!B9</f>
        <v>55.601</v>
      </c>
      <c r="I8" s="105">
        <v>19.2</v>
      </c>
      <c r="J8" s="131">
        <f t="shared" si="1"/>
        <v>19.2</v>
      </c>
      <c r="K8" s="125">
        <f>I8*100/'Нормы по школам-интернатам'!I9</f>
        <v>96</v>
      </c>
      <c r="L8" s="81">
        <f>I8*'Нормы по школам-интернатам'!J9/'Нормы по школам-интернатам'!H9</f>
        <v>2.112</v>
      </c>
      <c r="M8" s="81">
        <f>I8*'Нормы по школам-интернатам'!K9/'Нормы по школам-интернатам'!H9</f>
        <v>0.2496</v>
      </c>
      <c r="N8" s="81">
        <f>I8*'Нормы по школам-интернатам'!L9/'Нормы по школам-интернатам'!H9</f>
        <v>13.535999999999998</v>
      </c>
      <c r="O8" s="82">
        <f>I8*'Нормы по школам-интернатам'!M9/'Нормы по школам-интернатам'!H9</f>
        <v>64.89599999999999</v>
      </c>
    </row>
    <row r="9" spans="1:15" ht="15" customHeight="1">
      <c r="A9" s="95" t="s">
        <v>8</v>
      </c>
      <c r="B9" s="105">
        <v>177</v>
      </c>
      <c r="C9" s="131">
        <f>B9*'Нормы по школам-интернатам'!C10/'Нормы по школам-интернатам'!B10</f>
        <v>133.104</v>
      </c>
      <c r="D9" s="125">
        <f>B9*100/'Нормы по школам-интернатам'!C10</f>
        <v>94.14893617021276</v>
      </c>
      <c r="E9" s="79">
        <f>B9*'Нормы по школам-интернатам'!D10/'Нормы по школам-интернатам'!B10</f>
        <v>2.66208</v>
      </c>
      <c r="F9" s="79">
        <f>B9*'Нормы по школам-интернатам'!E10/'Нормы по школам-интернатам'!B10</f>
        <v>0.532416</v>
      </c>
      <c r="G9" s="79">
        <f>B9*'Нормы по школам-интернатам'!F10/'Нормы по школам-интернатам'!B10</f>
        <v>21.695952000000002</v>
      </c>
      <c r="H9" s="80">
        <f>B9*'Нормы по школам-интернатам'!G10/'Нормы по школам-интернатам'!B10</f>
        <v>102.49007999999999</v>
      </c>
      <c r="I9" s="105">
        <v>225.3</v>
      </c>
      <c r="J9" s="131">
        <f t="shared" si="1"/>
        <v>225.3</v>
      </c>
      <c r="K9" s="125">
        <f>I9*100/'Нормы по школам-интернатам'!I10</f>
        <v>119.84042553191489</v>
      </c>
      <c r="L9" s="81">
        <f>I9*'Нормы по школам-интернатам'!J10/'Нормы по школам-интернатам'!H10</f>
        <v>3.388512</v>
      </c>
      <c r="M9" s="81">
        <f>I9*'Нормы по школам-интернатам'!K10/'Нормы по школам-интернатам'!H10</f>
        <v>0.6777024</v>
      </c>
      <c r="N9" s="81">
        <f>I9*'Нормы по школам-интернатам'!L10/'Нормы по школам-интернатам'!H10</f>
        <v>27.616372800000004</v>
      </c>
      <c r="O9" s="82">
        <f>I9*'Нормы по школам-интернатам'!M10/'Нормы по школам-интернатам'!H10</f>
        <v>130.457712</v>
      </c>
    </row>
    <row r="10" spans="1:15" ht="15" customHeight="1">
      <c r="A10" s="95" t="s">
        <v>25</v>
      </c>
      <c r="B10" s="105">
        <v>223</v>
      </c>
      <c r="C10" s="131">
        <f>B10*'Нормы по школам-интернатам'!C11/'Нормы по школам-интернатам'!B11</f>
        <v>178.4</v>
      </c>
      <c r="D10" s="125">
        <f>B10*100/'Нормы по школам-интернатам'!C11</f>
        <v>79.64285714285714</v>
      </c>
      <c r="E10" s="79">
        <f>B10*'Нормы по школам-интернатам'!D11/'Нормы по школам-интернатам'!B11</f>
        <v>2.3192</v>
      </c>
      <c r="F10" s="79">
        <f>B10*'Нормы по школам-интернатам'!E11/'Нормы по школам-интернатам'!B11</f>
        <v>0.23786666666666667</v>
      </c>
      <c r="G10" s="79">
        <f>B10*'Нормы по школам-интернатам'!F11/'Нормы по школам-интернатам'!B11</f>
        <v>10.198533333333334</v>
      </c>
      <c r="H10" s="80">
        <f>B10*'Нормы по школам-интернатам'!G11/'Нормы по школам-интернатам'!B11</f>
        <v>53.81733333333333</v>
      </c>
      <c r="I10" s="105">
        <v>274.1</v>
      </c>
      <c r="J10" s="131">
        <f t="shared" si="1"/>
        <v>274.1</v>
      </c>
      <c r="K10" s="125">
        <f>I10*100/'Нормы по школам-интернатам'!I11</f>
        <v>85.65625000000001</v>
      </c>
      <c r="L10" s="81">
        <f>I10*'Нормы по школам-интернатам'!J11/'Нормы по школам-интернатам'!H11</f>
        <v>2.8506400000000003</v>
      </c>
      <c r="M10" s="81">
        <f>I10*'Нормы по школам-интернатам'!K11/'Нормы по школам-интернатам'!H11</f>
        <v>0.2923733333333334</v>
      </c>
      <c r="N10" s="81">
        <f>I10*'Нормы по школам-интернатам'!L11/'Нормы по школам-интернатам'!H11</f>
        <v>12.535506666666668</v>
      </c>
      <c r="O10" s="82">
        <f>I10*'Нормы по школам-интернатам'!M11/'Нормы по школам-интернатам'!H11</f>
        <v>66.14946666666667</v>
      </c>
    </row>
    <row r="11" spans="1:15" ht="15" customHeight="1">
      <c r="A11" s="95" t="s">
        <v>9</v>
      </c>
      <c r="B11" s="105">
        <v>184</v>
      </c>
      <c r="C11" s="131">
        <f>B11*'Нормы по школам-интернатам'!C12/'Нормы по школам-интернатам'!B12</f>
        <v>170.2</v>
      </c>
      <c r="D11" s="125">
        <f>B11*100/'Нормы по школам-интернатам'!C12</f>
        <v>99.45945945945945</v>
      </c>
      <c r="E11" s="79">
        <f>B11*'Нормы по школам-интернатам'!D12/'Нормы по школам-интернатам'!B12</f>
        <v>1.5885333333333334</v>
      </c>
      <c r="F11" s="79">
        <f>B11*'Нормы по школам-интернатам'!E12/'Нормы по школам-интернатам'!B12</f>
        <v>0.6240666666666668</v>
      </c>
      <c r="G11" s="79">
        <f>B11*'Нормы по школам-интернатам'!F12/'Нормы по школам-интернатам'!B12</f>
        <v>22.069266666666667</v>
      </c>
      <c r="H11" s="80">
        <f>B11*'Нормы по школам-интернатам'!G12/'Нормы по школам-интернатам'!B12</f>
        <v>105.524</v>
      </c>
      <c r="I11" s="105">
        <v>159</v>
      </c>
      <c r="J11" s="131">
        <f t="shared" si="1"/>
        <v>159</v>
      </c>
      <c r="K11" s="125">
        <f>I11*100/'Нормы по школам-интернатам'!I12</f>
        <v>85.94594594594595</v>
      </c>
      <c r="L11" s="81">
        <f>I11*'Нормы по школам-интернатам'!J12/'Нормы по школам-интернатам'!H12</f>
        <v>1.3726999999999998</v>
      </c>
      <c r="M11" s="81">
        <f>I11*'Нормы по школам-интернатам'!K12/'Нормы по школам-интернатам'!H12</f>
        <v>0.5392750000000001</v>
      </c>
      <c r="N11" s="81">
        <f>I11*'Нормы по школам-интернатам'!L12/'Нормы по школам-интернатам'!H12</f>
        <v>19.070725</v>
      </c>
      <c r="O11" s="82">
        <f>I11*'Нормы по школам-интернатам'!M12/'Нормы по школам-интернатам'!H12</f>
        <v>91.1865</v>
      </c>
    </row>
    <row r="12" spans="1:15" ht="15" customHeight="1">
      <c r="A12" s="95" t="s">
        <v>60</v>
      </c>
      <c r="B12" s="105">
        <v>6</v>
      </c>
      <c r="C12" s="131">
        <f t="shared" si="0"/>
        <v>6</v>
      </c>
      <c r="D12" s="125">
        <f>B12*100/'Нормы по школам-интернатам'!C13</f>
        <v>40</v>
      </c>
      <c r="E12" s="79">
        <f>B12*'Нормы по школам-интернатам'!D13/'Нормы по школам-интернатам'!B13</f>
        <v>0.18480000000000002</v>
      </c>
      <c r="F12" s="79">
        <f>B12*'Нормы по школам-интернатам'!E13/'Нормы по школам-интернатам'!B13</f>
        <v>0.036000000000000004</v>
      </c>
      <c r="G12" s="79">
        <f>B12*'Нормы по школам-интернатам'!F13/'Нормы по школам-интернатам'!B13</f>
        <v>3.3792</v>
      </c>
      <c r="H12" s="80">
        <f>B12*'Нормы по школам-интернатам'!G13/'Нормы по школам-интернатам'!B13</f>
        <v>15.671999999999999</v>
      </c>
      <c r="I12" s="105">
        <v>6</v>
      </c>
      <c r="J12" s="131">
        <f t="shared" si="1"/>
        <v>6</v>
      </c>
      <c r="K12" s="125">
        <f>I12*100/'Нормы по школам-интернатам'!I13</f>
        <v>30</v>
      </c>
      <c r="L12" s="81">
        <f>I12*'Нормы по школам-интернатам'!J13/'Нормы по школам-интернатам'!H13</f>
        <v>0.18480000000000002</v>
      </c>
      <c r="M12" s="81">
        <f>I12*'Нормы по школам-интернатам'!K13/'Нормы по школам-интернатам'!H13</f>
        <v>0.036</v>
      </c>
      <c r="N12" s="81">
        <f>I12*'Нормы по школам-интернатам'!L13/'Нормы по школам-интернатам'!H13</f>
        <v>3.3792</v>
      </c>
      <c r="O12" s="82">
        <f>I12*'Нормы по школам-интернатам'!M13/'Нормы по школам-интернатам'!H13</f>
        <v>15.672</v>
      </c>
    </row>
    <row r="13" spans="1:15" ht="15" customHeight="1">
      <c r="A13" s="114" t="s">
        <v>72</v>
      </c>
      <c r="B13" s="105">
        <v>120</v>
      </c>
      <c r="C13" s="131">
        <f t="shared" si="0"/>
        <v>120</v>
      </c>
      <c r="D13" s="125">
        <f>B13*100/'Нормы по школам-интернатам'!C14</f>
        <v>60</v>
      </c>
      <c r="E13" s="79">
        <f>B13*'Нормы по школам-интернатам'!D14/'Нормы по школам-интернатам'!B14</f>
        <v>0.72</v>
      </c>
      <c r="F13" s="79">
        <f>B13*'Нормы по школам-интернатам'!E14/'Нормы по школам-интернатам'!B14</f>
        <v>0.12</v>
      </c>
      <c r="G13" s="79">
        <f>B13*'Нормы по школам-интернатам'!F14/'Нормы по школам-интернатам'!B14</f>
        <v>13.979999999999997</v>
      </c>
      <c r="H13" s="80">
        <f>B13*'Нормы по школам-интернатам'!G14/'Нормы по школам-интернатам'!B14</f>
        <v>63.6</v>
      </c>
      <c r="I13" s="105">
        <v>120</v>
      </c>
      <c r="J13" s="131">
        <f t="shared" si="1"/>
        <v>120</v>
      </c>
      <c r="K13" s="125">
        <f>I13*100/'Нормы по школам-интернатам'!I14</f>
        <v>60</v>
      </c>
      <c r="L13" s="81">
        <f>I13*'Нормы по школам-интернатам'!J14/'Нормы по школам-интернатам'!H14</f>
        <v>0.72</v>
      </c>
      <c r="M13" s="81">
        <f>I13*'Нормы по школам-интернатам'!K14/'Нормы по школам-интернатам'!H14</f>
        <v>0.12</v>
      </c>
      <c r="N13" s="81">
        <f>I13*'Нормы по школам-интернатам'!L14/'Нормы по школам-интернатам'!H14</f>
        <v>13.979999999999997</v>
      </c>
      <c r="O13" s="82">
        <f>I13*'Нормы по школам-интернатам'!M14/'Нормы по школам-интернатам'!H14</f>
        <v>63.6</v>
      </c>
    </row>
    <row r="14" spans="1:15" ht="15" customHeight="1">
      <c r="A14" s="95" t="s">
        <v>57</v>
      </c>
      <c r="B14" s="105">
        <v>91.1</v>
      </c>
      <c r="C14" s="131">
        <f>B14*'Нормы по школам-интернатам'!C15/'Нормы по школам-интернатам'!B15</f>
        <v>82.81818181818181</v>
      </c>
      <c r="D14" s="125">
        <f>B14*100/'Нормы по школам-интернатам'!C15</f>
        <v>130.14285714285714</v>
      </c>
      <c r="E14" s="79">
        <f>B14*'Нормы по школам-интернатам'!D15/'Нормы по школам-интернатам'!B15</f>
        <v>15.404181818181817</v>
      </c>
      <c r="F14" s="79">
        <f>B14*'Нормы по школам-интернатам'!E15/'Нормы по школам-интернатам'!B15</f>
        <v>13.250909090909088</v>
      </c>
      <c r="G14" s="79">
        <f>B14*'Нормы по школам-интернатам'!F15/'Нормы по школам-интернатам'!B15</f>
        <v>0</v>
      </c>
      <c r="H14" s="80">
        <f>B14*'Нормы по школам-интернатам'!G15/'Нормы по школам-интернатам'!B15</f>
        <v>180.54363636363635</v>
      </c>
      <c r="I14" s="105">
        <v>93.5</v>
      </c>
      <c r="J14" s="131">
        <f t="shared" si="1"/>
        <v>93.5</v>
      </c>
      <c r="K14" s="125">
        <f>I14*100/'Нормы по школам-интернатам'!I15</f>
        <v>119.87179487179488</v>
      </c>
      <c r="L14" s="81">
        <f>I14*'Нормы по школам-интернатам'!J15/'Нормы по школам-интернатам'!H15</f>
        <v>15.773232558139538</v>
      </c>
      <c r="M14" s="81">
        <f>I14*'Нормы по школам-интернатам'!K15/'Нормы по школам-интернатам'!H15</f>
        <v>13.568372093023257</v>
      </c>
      <c r="N14" s="81">
        <f>I14*'Нормы по школам-интернатам'!L15/'Нормы по школам-интернатам'!H15</f>
        <v>0</v>
      </c>
      <c r="O14" s="82">
        <f>I14*'Нормы по школам-интернатам'!M15/'Нормы по школам-интернатам'!H15</f>
        <v>184.86906976744186</v>
      </c>
    </row>
    <row r="15" spans="1:15" ht="15" customHeight="1">
      <c r="A15" s="96" t="s">
        <v>52</v>
      </c>
      <c r="B15" s="105"/>
      <c r="C15" s="131">
        <f>B15*'Нормы по школам-интернатам'!C16/'Нормы по школам-интернатам'!B16</f>
        <v>0</v>
      </c>
      <c r="D15" s="125">
        <f>B15*100/'Нормы по школам-интернатам'!C16</f>
        <v>0</v>
      </c>
      <c r="E15" s="79">
        <f>B15*'Нормы по школам-интернатам'!D16/'Нормы по школам-интернатам'!B16</f>
        <v>0</v>
      </c>
      <c r="F15" s="79">
        <f>B15*'Нормы по школам-интернатам'!E16/'Нормы по школам-интернатам'!B16</f>
        <v>0</v>
      </c>
      <c r="G15" s="79">
        <f>B15*'Нормы по школам-интернатам'!F16/'Нормы по школам-интернатам'!B16</f>
        <v>0</v>
      </c>
      <c r="H15" s="80">
        <f>B15*'Нормы по школам-интернатам'!G16/'Нормы по школам-интернатам'!B16</f>
        <v>0</v>
      </c>
      <c r="I15" s="105"/>
      <c r="J15" s="131">
        <f t="shared" si="1"/>
        <v>0</v>
      </c>
      <c r="K15" s="125">
        <f>I15*100/'Нормы по школам-интернатам'!I16</f>
        <v>0</v>
      </c>
      <c r="L15" s="81">
        <f>I15*'Нормы по школам-интернатам'!J16/'Нормы по школам-интернатам'!H16</f>
        <v>0</v>
      </c>
      <c r="M15" s="81">
        <f>I15*'Нормы по школам-интернатам'!K16/'Нормы по школам-интернатам'!H16</f>
        <v>0</v>
      </c>
      <c r="N15" s="81">
        <f>I15*'Нормы по школам-интернатам'!L16/'Нормы по школам-интернатам'!H16</f>
        <v>0</v>
      </c>
      <c r="O15" s="82">
        <f>I15*'Нормы по школам-интернатам'!M16/'Нормы по школам-интернатам'!H16</f>
        <v>0</v>
      </c>
    </row>
    <row r="16" spans="1:15" ht="15" customHeight="1">
      <c r="A16" s="95" t="s">
        <v>58</v>
      </c>
      <c r="B16" s="105">
        <v>50.3</v>
      </c>
      <c r="C16" s="131">
        <f>B16*'Нормы по школам-интернатам'!C17/'Нормы по школам-интернатам'!B17</f>
        <v>44.0125</v>
      </c>
      <c r="D16" s="125">
        <f>B16*100/'Нормы по школам-интернатам'!C17</f>
        <v>143.71428571428572</v>
      </c>
      <c r="E16" s="79">
        <f>B16*'Нормы по школам-интернатам'!D17/'Нормы по школам-интернатам'!B17</f>
        <v>8.2303375</v>
      </c>
      <c r="F16" s="79">
        <f>B16*'Нормы по школам-интернатам'!E17/'Нормы по школам-интернатам'!B17</f>
        <v>7.0860125</v>
      </c>
      <c r="G16" s="79">
        <f>B16*'Нормы по школам-интернатам'!F17/'Нормы по школам-интернатам'!B17</f>
        <v>0</v>
      </c>
      <c r="H16" s="80">
        <f>B16*'Нормы по школам-интернатам'!G17/'Нормы по школам-интернатам'!B17</f>
        <v>96.8275</v>
      </c>
      <c r="I16" s="105">
        <v>53</v>
      </c>
      <c r="J16" s="131">
        <f t="shared" si="1"/>
        <v>53</v>
      </c>
      <c r="K16" s="125">
        <f>I16*100/'Нормы по школам-интернатам'!I17</f>
        <v>100</v>
      </c>
      <c r="L16" s="81">
        <f>I16*'Нормы по школам-интернатам'!J17/'Нормы по школам-интернатам'!H17</f>
        <v>8.754716666666667</v>
      </c>
      <c r="M16" s="81">
        <f>I16*'Нормы по школам-интернатам'!K17/'Нормы по школам-интернатам'!H17</f>
        <v>7.537483333333335</v>
      </c>
      <c r="N16" s="81">
        <f>I16*'Нормы по школам-интернатам'!L17/'Нормы по школам-интернатам'!H17</f>
        <v>0</v>
      </c>
      <c r="O16" s="82">
        <f>I16*'Нормы по школам-интернатам'!M17/'Нормы по школам-интернатам'!H17</f>
        <v>102.99666666666666</v>
      </c>
    </row>
    <row r="17" spans="1:15" ht="15" customHeight="1">
      <c r="A17" s="96" t="s">
        <v>59</v>
      </c>
      <c r="B17" s="105"/>
      <c r="C17" s="131">
        <f>B17*'Нормы по школам-интернатам'!C18/'Нормы по школам-интернатам'!B18</f>
        <v>0</v>
      </c>
      <c r="D17" s="125">
        <f>B17*100/'Нормы по школам-интернатам'!C18</f>
        <v>0</v>
      </c>
      <c r="E17" s="79">
        <f>B17*'Нормы по школам-интернатам'!D18/'Нормы по школам-интернатам'!B18</f>
        <v>0</v>
      </c>
      <c r="F17" s="79">
        <f>B17*'Нормы по школам-интернатам'!E18/'Нормы по школам-интернатам'!B18</f>
        <v>0</v>
      </c>
      <c r="G17" s="79">
        <f>B17*'Нормы по школам-интернатам'!F18/'Нормы по школам-интернатам'!B18</f>
        <v>0</v>
      </c>
      <c r="H17" s="80">
        <f>B17*'Нормы по школам-интернатам'!G18/'Нормы по школам-интернатам'!B18</f>
        <v>0</v>
      </c>
      <c r="I17" s="105"/>
      <c r="J17" s="131">
        <f t="shared" si="1"/>
        <v>0</v>
      </c>
      <c r="K17" s="125">
        <f>I17*100/'Нормы по школам-интернатам'!I18</f>
        <v>0</v>
      </c>
      <c r="L17" s="81">
        <f>I17*'Нормы по школам-интернатам'!J18/'Нормы по школам-интернатам'!H18</f>
        <v>0</v>
      </c>
      <c r="M17" s="81">
        <f>I17*'Нормы по школам-интернатам'!K18/'Нормы по школам-интернатам'!H18</f>
        <v>0</v>
      </c>
      <c r="N17" s="81">
        <f>I17*'Нормы по школам-интернатам'!L18/'Нормы по школам-интернатам'!H18</f>
        <v>0</v>
      </c>
      <c r="O17" s="82">
        <f>I17*'Нормы по школам-интернатам'!M18/'Нормы по школам-интернатам'!H18</f>
        <v>0</v>
      </c>
    </row>
    <row r="18" spans="1:15" ht="15" customHeight="1">
      <c r="A18" s="95" t="s">
        <v>44</v>
      </c>
      <c r="B18" s="105">
        <v>65.3</v>
      </c>
      <c r="C18" s="131">
        <f>B18*'Нормы по школам-интернатам'!C19/'Нормы по школам-интернатам'!B19</f>
        <v>63.12333333333333</v>
      </c>
      <c r="D18" s="125">
        <f>B18*100/'Нормы по школам-интернатам'!C19</f>
        <v>112.58620689655173</v>
      </c>
      <c r="E18" s="79">
        <f>B18*'Нормы по школам-интернатам'!D19/'Нормы по школам-интернатам'!B19</f>
        <v>10.415349999999998</v>
      </c>
      <c r="F18" s="79">
        <f>B18*'Нормы по школам-интернатам'!E19/'Нормы по школам-интернатам'!B19</f>
        <v>2.4407688888888894</v>
      </c>
      <c r="G18" s="79">
        <f>B18*'Нормы по школам-интернатам'!F19/'Нормы по школам-интернатам'!B19</f>
        <v>0</v>
      </c>
      <c r="H18" s="80">
        <f>B18*'Нормы по школам-интернатам'!G19/'Нормы по школам-интернатам'!B19</f>
        <v>63.75456666666666</v>
      </c>
      <c r="I18" s="105">
        <v>68.1</v>
      </c>
      <c r="J18" s="131">
        <f t="shared" si="1"/>
        <v>68.1</v>
      </c>
      <c r="K18" s="125">
        <f>I18*100/'Нормы по школам-интернатам'!I19</f>
        <v>88.44155844155843</v>
      </c>
      <c r="L18" s="81">
        <f>I18*'Нормы по школам-интернатам'!J19/'Нормы по школам-интернатам'!H19</f>
        <v>10.815131249999999</v>
      </c>
      <c r="M18" s="81">
        <f>I18*'Нормы по школам-интернатам'!K19/'Нормы по школам-интернатам'!H19</f>
        <v>2.5344550000000003</v>
      </c>
      <c r="N18" s="81">
        <f>I18*'Нормы по школам-интернатам'!L19/'Нормы по школам-интернатам'!H19</f>
        <v>0</v>
      </c>
      <c r="O18" s="82">
        <f>I18*'Нормы по школам-интернатам'!M19/'Нормы по школам-интернатам'!H19</f>
        <v>66.2017125</v>
      </c>
    </row>
    <row r="19" spans="1:15" s="27" customFormat="1" ht="15" customHeight="1">
      <c r="A19" s="97" t="s">
        <v>27</v>
      </c>
      <c r="B19" s="105">
        <v>9.8</v>
      </c>
      <c r="C19" s="131">
        <f>B19*'Нормы по школам-интернатам'!C20/'Нормы по школам-интернатам'!B20</f>
        <v>9.604000000000001</v>
      </c>
      <c r="D19" s="125">
        <f>B19*100/'Нормы по школам-интернатам'!C20</f>
        <v>66.66666666666667</v>
      </c>
      <c r="E19" s="79">
        <f>B19*'Нормы по школам-интернатам'!D20/'Нормы по школам-интернатам'!B20</f>
        <v>1.229312</v>
      </c>
      <c r="F19" s="79">
        <f>B19*'Нормы по школам-интернатам'!E20/'Нормы по школам-интернатам'!B20</f>
        <v>2.132088</v>
      </c>
      <c r="G19" s="79">
        <f>B19*'Нормы по школам-интернатам'!F20/'Нормы по школам-интернатам'!B20</f>
        <v>0.14406</v>
      </c>
      <c r="H19" s="80">
        <f>B19*'Нормы по школам-интернатам'!G20/'Нормы по школам-интернатам'!B20</f>
        <v>24.68228</v>
      </c>
      <c r="I19" s="105">
        <v>12.3</v>
      </c>
      <c r="J19" s="131">
        <f t="shared" si="1"/>
        <v>12.3</v>
      </c>
      <c r="K19" s="125">
        <f>I19*100/'Нормы по школам-интернатам'!I20</f>
        <v>62.755102040816325</v>
      </c>
      <c r="L19" s="81">
        <f>I19*'Нормы по школам-интернатам'!J20/'Нормы по школам-интернатам'!H20</f>
        <v>1.5429120000000003</v>
      </c>
      <c r="M19" s="81">
        <f>I19*'Нормы по школам-интернатам'!K20/'Нормы по школам-интернатам'!H20</f>
        <v>2.6759880000000003</v>
      </c>
      <c r="N19" s="81">
        <f>I19*'Нормы по школам-интернатам'!L20/'Нормы по школам-интернатам'!H20</f>
        <v>0.18081000000000003</v>
      </c>
      <c r="O19" s="82">
        <f>I19*'Нормы по школам-интернатам'!M20/'Нормы по школам-интернатам'!H20</f>
        <v>30.978780000000008</v>
      </c>
    </row>
    <row r="20" spans="1:15" s="27" customFormat="1" ht="15" customHeight="1">
      <c r="A20" s="97" t="s">
        <v>69</v>
      </c>
      <c r="B20" s="105"/>
      <c r="C20" s="131">
        <f t="shared" si="0"/>
        <v>0</v>
      </c>
      <c r="D20" s="125">
        <f>B20*100/'Нормы по школам-интернатам'!C21</f>
        <v>0</v>
      </c>
      <c r="E20" s="79">
        <f>B20*'Нормы по школам-интернатам'!D21/'Нормы по школам-интернатам'!B21</f>
        <v>0</v>
      </c>
      <c r="F20" s="79">
        <f>B20*'Нормы по школам-интернатам'!E21/'Нормы по школам-интернатам'!B21</f>
        <v>0</v>
      </c>
      <c r="G20" s="79">
        <f>B20*'Нормы по школам-интернатам'!F21/'Нормы по школам-интернатам'!B21</f>
        <v>0</v>
      </c>
      <c r="H20" s="80">
        <f>B20*'Нормы по школам-интернатам'!G21/'Нормы по школам-интернатам'!B21</f>
        <v>0</v>
      </c>
      <c r="I20" s="105">
        <v>0</v>
      </c>
      <c r="J20" s="131">
        <f t="shared" si="1"/>
        <v>0</v>
      </c>
      <c r="K20" s="125">
        <f>I20*100/'Нормы по школам-интернатам'!I21</f>
        <v>0</v>
      </c>
      <c r="L20" s="81">
        <f>I20*'Нормы по школам-интернатам'!J21/'Нормы по школам-интернатам'!H21</f>
        <v>0</v>
      </c>
      <c r="M20" s="81">
        <f>I20*'Нормы по школам-интернатам'!K21/'Нормы по школам-интернатам'!H21</f>
        <v>0</v>
      </c>
      <c r="N20" s="81">
        <f>I20*'Нормы по школам-интернатам'!L21/'Нормы по школам-интернатам'!H21</f>
        <v>0</v>
      </c>
      <c r="O20" s="82">
        <f>I20*'Нормы по школам-интернатам'!M21/'Нормы по школам-интернатам'!H21</f>
        <v>0</v>
      </c>
    </row>
    <row r="21" spans="1:15" s="27" customFormat="1" ht="15" customHeight="1">
      <c r="A21" s="110" t="s">
        <v>71</v>
      </c>
      <c r="B21" s="105">
        <v>141.1</v>
      </c>
      <c r="C21" s="131">
        <f t="shared" si="0"/>
        <v>141.1</v>
      </c>
      <c r="D21" s="125">
        <f>B21*100/'Нормы по школам-интернатам'!C22</f>
        <v>47.03333333333333</v>
      </c>
      <c r="E21" s="79">
        <f>B21*'Нормы по школам-интернатам'!D22/'Нормы по школам-интернатам'!B22</f>
        <v>4.0919</v>
      </c>
      <c r="F21" s="79">
        <f>B21*'Нормы по школам-интернатам'!E22/'Нормы по школам-интернатам'!B22</f>
        <v>4.5152</v>
      </c>
      <c r="G21" s="79">
        <f>B21*'Нормы по школам-интернатам'!F22/'Нормы по школам-интернатам'!B22</f>
        <v>6.6316999999999995</v>
      </c>
      <c r="H21" s="80">
        <f>B21*'Нормы по школам-интернатам'!G22/'Нормы по школам-интернатам'!B22</f>
        <v>84.66</v>
      </c>
      <c r="I21" s="105">
        <v>209.1</v>
      </c>
      <c r="J21" s="131">
        <f t="shared" si="1"/>
        <v>209.1</v>
      </c>
      <c r="K21" s="125">
        <f>I21*100/'Нормы по школам-интернатам'!I22</f>
        <v>69.7</v>
      </c>
      <c r="L21" s="81">
        <f>I21*'Нормы по школам-интернатам'!J22/'Нормы по школам-интернатам'!H22</f>
        <v>6.063899999999999</v>
      </c>
      <c r="M21" s="81">
        <f>I21*'Нормы по школам-интернатам'!K22/'Нормы по школам-интернатам'!H22</f>
        <v>6.691199999999999</v>
      </c>
      <c r="N21" s="81">
        <f>I21*'Нормы по школам-интернатам'!L22/'Нормы по школам-интернатам'!H22</f>
        <v>9.8277</v>
      </c>
      <c r="O21" s="82">
        <f>I21*'Нормы по школам-интернатам'!M22/'Нормы по школам-интернатам'!H22</f>
        <v>125.46</v>
      </c>
    </row>
    <row r="22" spans="1:15" s="27" customFormat="1" ht="15" customHeight="1">
      <c r="A22" s="111" t="s">
        <v>70</v>
      </c>
      <c r="B22" s="105">
        <v>150</v>
      </c>
      <c r="C22" s="131">
        <f t="shared" si="0"/>
        <v>150</v>
      </c>
      <c r="D22" s="125">
        <f>B22*100/'Нормы по школам-интернатам'!C23</f>
        <v>100</v>
      </c>
      <c r="E22" s="79">
        <f>B22*'Нормы по школам-интернатам'!D23/'Нормы по школам-интернатам'!B23</f>
        <v>4.05</v>
      </c>
      <c r="F22" s="79">
        <f>B22*'Нормы по школам-интернатам'!E23/'Нормы по школам-интернатам'!B23</f>
        <v>0.10125</v>
      </c>
      <c r="G22" s="79">
        <f>B22*'Нормы по школам-интернатам'!F23/'Нормы по школам-интернатам'!B23</f>
        <v>16.2</v>
      </c>
      <c r="H22" s="80">
        <f>B22*'Нормы по школам-интернатам'!G23/'Нормы по школам-интернатам'!B23</f>
        <v>118.5</v>
      </c>
      <c r="I22" s="105">
        <v>63.4</v>
      </c>
      <c r="J22" s="131">
        <f t="shared" si="1"/>
        <v>63.4</v>
      </c>
      <c r="K22" s="125">
        <f>I22*100/'Нормы по школам-интернатам'!I23</f>
        <v>35.22222222222222</v>
      </c>
      <c r="L22" s="81">
        <f>I22*'Нормы по школам-интернатам'!J23/'Нормы по школам-интернатам'!H23</f>
        <v>1.7118000000000002</v>
      </c>
      <c r="M22" s="81">
        <f>I22*'Нормы по школам-интернатам'!K23/'Нормы по школам-интернатам'!H23</f>
        <v>0.042795</v>
      </c>
      <c r="N22" s="81">
        <f>I22*'Нормы по школам-интернатам'!L23/'Нормы по школам-интернатам'!H23</f>
        <v>6.847200000000001</v>
      </c>
      <c r="O22" s="82">
        <f>I22*'Нормы по школам-интернатам'!M23/'Нормы по школам-интернатам'!H23</f>
        <v>50.086</v>
      </c>
    </row>
    <row r="23" spans="1:15" s="27" customFormat="1" ht="15" customHeight="1">
      <c r="A23" s="109" t="s">
        <v>71</v>
      </c>
      <c r="B23" s="105"/>
      <c r="C23" s="131">
        <f t="shared" si="0"/>
        <v>0</v>
      </c>
      <c r="D23" s="125">
        <f>B23*100/'Нормы по школам-интернатам'!C24</f>
        <v>0</v>
      </c>
      <c r="E23" s="79">
        <f>B23*'Нормы по школам-интернатам'!D24/'Нормы по школам-интернатам'!B24</f>
        <v>0</v>
      </c>
      <c r="F23" s="79">
        <f>B23*'Нормы по школам-интернатам'!E24/'Нормы по школам-интернатам'!B24</f>
        <v>0</v>
      </c>
      <c r="G23" s="79">
        <f>B23*'Нормы по школам-интернатам'!F24/'Нормы по школам-интернатам'!B24</f>
        <v>0</v>
      </c>
      <c r="H23" s="80">
        <f>B23*'Нормы по школам-интернатам'!G24/'Нормы по школам-интернатам'!B24</f>
        <v>0</v>
      </c>
      <c r="I23" s="105"/>
      <c r="J23" s="131">
        <f t="shared" si="1"/>
        <v>0</v>
      </c>
      <c r="K23" s="125">
        <f>I23*100/'Нормы по школам-интернатам'!I24</f>
        <v>0</v>
      </c>
      <c r="L23" s="81">
        <f>I23*'Нормы по школам-интернатам'!J24/'Нормы по школам-интернатам'!H24</f>
        <v>0</v>
      </c>
      <c r="M23" s="81">
        <f>I23*'Нормы по школам-интернатам'!K24/'Нормы по школам-интернатам'!H24</f>
        <v>0</v>
      </c>
      <c r="N23" s="81">
        <f>I23*'Нормы по школам-интернатам'!L24/'Нормы по школам-интернатам'!H24</f>
        <v>0</v>
      </c>
      <c r="O23" s="82">
        <f>I23*'Нормы по школам-интернатам'!M24/'Нормы по школам-интернатам'!H24</f>
        <v>0</v>
      </c>
    </row>
    <row r="24" spans="1:15" s="27" customFormat="1" ht="15" customHeight="1">
      <c r="A24" s="97" t="s">
        <v>14</v>
      </c>
      <c r="B24" s="105">
        <v>54.25</v>
      </c>
      <c r="C24" s="131">
        <f t="shared" si="0"/>
        <v>54.25</v>
      </c>
      <c r="D24" s="125">
        <f>B24*100/'Нормы по школам-интернатам'!C25</f>
        <v>108.5</v>
      </c>
      <c r="E24" s="79">
        <f>B24*'Нормы по школам-интернатам'!D25/'Нормы по школам-интернатам'!B25</f>
        <v>9.765</v>
      </c>
      <c r="F24" s="79">
        <f>B24*'Нормы по школам-интернатам'!E25/'Нормы по школам-интернатам'!B25</f>
        <v>4.8825</v>
      </c>
      <c r="G24" s="79">
        <f>B24*'Нормы по школам-интернатам'!F25/'Нормы по школам-интернатам'!B25</f>
        <v>1.6275</v>
      </c>
      <c r="H24" s="80">
        <f>B24*'Нормы по школам-интернатам'!G25/'Нормы по школам-интернатам'!B25</f>
        <v>91.6825</v>
      </c>
      <c r="I24" s="105">
        <v>54</v>
      </c>
      <c r="J24" s="131">
        <f t="shared" si="1"/>
        <v>54</v>
      </c>
      <c r="K24" s="125">
        <f>I24*100/'Нормы по школам-интернатам'!I25</f>
        <v>90</v>
      </c>
      <c r="L24" s="81">
        <f>I24*'Нормы по школам-интернатам'!J25/'Нормы по школам-интернатам'!H25</f>
        <v>9.72</v>
      </c>
      <c r="M24" s="81">
        <f>I24*'Нормы по школам-интернатам'!K25/'Нормы по школам-интернатам'!H25</f>
        <v>4.86</v>
      </c>
      <c r="N24" s="81">
        <f>I24*'Нормы по школам-интернатам'!L25/'Нормы по школам-интернатам'!H25</f>
        <v>1.62</v>
      </c>
      <c r="O24" s="82">
        <f>I24*'Нормы по школам-интернатам'!M25/'Нормы по школам-интернатам'!H25</f>
        <v>91.26</v>
      </c>
    </row>
    <row r="25" spans="1:15" s="27" customFormat="1" ht="15" customHeight="1">
      <c r="A25" s="97" t="s">
        <v>16</v>
      </c>
      <c r="B25" s="105">
        <v>11.4</v>
      </c>
      <c r="C25" s="131">
        <f>B25*'Нормы по школам-интернатам'!C26/'Нормы по школам-интернатам'!B26</f>
        <v>11.172</v>
      </c>
      <c r="D25" s="125">
        <f>B25*100/'Нормы по школам-интернатам'!C26</f>
        <v>116.3265306122449</v>
      </c>
      <c r="E25" s="79">
        <f>B25*'Нормы по школам-интернатам'!D26/'Нормы по школам-интернатам'!B26</f>
        <v>2.938236</v>
      </c>
      <c r="F25" s="79">
        <f>B25*'Нормы по школам-интернатам'!E26/'Нормы по школам-интернатам'!B26</f>
        <v>2.9717520000000004</v>
      </c>
      <c r="G25" s="79">
        <f>B25*'Нормы по школам-интернатам'!F26/'Нормы по школам-интернатам'!B26</f>
        <v>0</v>
      </c>
      <c r="H25" s="80">
        <f>B25*'Нормы по школам-интернатам'!G26/'Нормы по школам-интернатам'!B26</f>
        <v>39.102000000000004</v>
      </c>
      <c r="I25" s="105">
        <v>12.45</v>
      </c>
      <c r="J25" s="131">
        <f t="shared" si="1"/>
        <v>12.45</v>
      </c>
      <c r="K25" s="125">
        <f>I25*100/'Нормы по школам-интернатам'!I26</f>
        <v>105.50847457627118</v>
      </c>
      <c r="L25" s="81">
        <f>I25*'Нормы по школам-интернатам'!J26/'Нормы по школам-интернатам'!H26</f>
        <v>3.2197774999999997</v>
      </c>
      <c r="M25" s="81">
        <f>I25*'Нормы по школам-интернатам'!K26/'Нормы по школам-интернатам'!H26</f>
        <v>3.2565050000000006</v>
      </c>
      <c r="N25" s="81">
        <f>I25*'Нормы по школам-интернатам'!L26/'Нормы по школам-интернатам'!H26</f>
        <v>0</v>
      </c>
      <c r="O25" s="82">
        <f>I25*'Нормы по школам-интернатам'!M26/'Нормы по школам-интернатам'!H26</f>
        <v>42.848749999999995</v>
      </c>
    </row>
    <row r="26" spans="1:15" s="27" customFormat="1" ht="15" customHeight="1">
      <c r="A26" s="97" t="s">
        <v>15</v>
      </c>
      <c r="B26" s="105">
        <v>11</v>
      </c>
      <c r="C26" s="131">
        <f t="shared" si="0"/>
        <v>11</v>
      </c>
      <c r="D26" s="125">
        <f>B26*100/'Нормы по школам-интернатам'!C27</f>
        <v>110</v>
      </c>
      <c r="E26" s="79">
        <f>B26*'Нормы по школам-интернатам'!D27/'Нормы по школам-интернатам'!B27</f>
        <v>0.28600000000000003</v>
      </c>
      <c r="F26" s="79">
        <f>B26*'Нормы по школам-интернатам'!E27/'Нормы по школам-интернатам'!B27</f>
        <v>1.65</v>
      </c>
      <c r="G26" s="79">
        <f>B26*'Нормы по школам-интернатам'!F27/'Нормы по школам-интернатам'!B27</f>
        <v>0.396</v>
      </c>
      <c r="H26" s="80">
        <f>B26*'Нормы по школам-интернатам'!G27/'Нормы по школам-интернатам'!B27</f>
        <v>17.82</v>
      </c>
      <c r="I26" s="105">
        <v>11.5</v>
      </c>
      <c r="J26" s="131">
        <f t="shared" si="1"/>
        <v>11.5</v>
      </c>
      <c r="K26" s="125">
        <f>I26*100/'Нормы по школам-интернатам'!I27</f>
        <v>115</v>
      </c>
      <c r="L26" s="81">
        <f>I26*'Нормы по школам-интернатам'!J27/'Нормы по школам-интернатам'!H27</f>
        <v>0.29900000000000004</v>
      </c>
      <c r="M26" s="81">
        <f>I26*'Нормы по школам-интернатам'!K27/'Нормы по школам-интернатам'!H27</f>
        <v>1.725</v>
      </c>
      <c r="N26" s="81">
        <f>I26*'Нормы по школам-интернатам'!L27/'Нормы по школам-интернатам'!H27</f>
        <v>0.414</v>
      </c>
      <c r="O26" s="82">
        <f>I26*'Нормы по школам-интернатам'!M27/'Нормы по школам-интернатам'!H27</f>
        <v>18.63</v>
      </c>
    </row>
    <row r="27" spans="1:15" s="27" customFormat="1" ht="15" customHeight="1">
      <c r="A27" s="97" t="s">
        <v>12</v>
      </c>
      <c r="B27" s="105">
        <v>15.1</v>
      </c>
      <c r="C27" s="131">
        <f t="shared" si="0"/>
        <v>15.1</v>
      </c>
      <c r="D27" s="125">
        <f>B27*100/'Нормы по школам-интернатам'!C28</f>
        <v>50.333333333333336</v>
      </c>
      <c r="E27" s="79">
        <f>B27*'Нормы по школам-интернатам'!D28/'Нормы по школам-интернатам'!B28</f>
        <v>0.07549999999999998</v>
      </c>
      <c r="F27" s="79">
        <f>B27*'Нормы по школам-интернатам'!E28/'Нормы по школам-интернатам'!B28</f>
        <v>12.4575</v>
      </c>
      <c r="G27" s="79">
        <f>B27*'Нормы по школам-интернатам'!F28/'Нормы по школам-интернатам'!B28</f>
        <v>0.12079999999999999</v>
      </c>
      <c r="H27" s="80">
        <f>B27*'Нормы по школам-интернатам'!G28/'Нормы по школам-интернатам'!B28</f>
        <v>112.94800000000001</v>
      </c>
      <c r="I27" s="105">
        <v>14.1</v>
      </c>
      <c r="J27" s="131">
        <f t="shared" si="1"/>
        <v>14.1</v>
      </c>
      <c r="K27" s="125">
        <f>I27*100/'Нормы по школам-интернатам'!I28</f>
        <v>40.285714285714285</v>
      </c>
      <c r="L27" s="81">
        <f>I27*'Нормы по школам-интернатам'!J28/'Нормы по школам-интернатам'!H28</f>
        <v>0.0705</v>
      </c>
      <c r="M27" s="81">
        <f>I27*'Нормы по школам-интернатам'!K28/'Нормы по школам-интернатам'!H28</f>
        <v>11.6325</v>
      </c>
      <c r="N27" s="81">
        <f>I27*'Нормы по школам-интернатам'!L28/'Нормы по школам-интернатам'!H28</f>
        <v>0.11280000000000001</v>
      </c>
      <c r="O27" s="82">
        <f>I27*'Нормы по школам-интернатам'!M28/'Нормы по школам-интернатам'!H28</f>
        <v>105.468</v>
      </c>
    </row>
    <row r="28" spans="1:15" s="27" customFormat="1" ht="15" customHeight="1">
      <c r="A28" s="98" t="s">
        <v>13</v>
      </c>
      <c r="B28" s="105">
        <v>13.8</v>
      </c>
      <c r="C28" s="131">
        <f t="shared" si="0"/>
        <v>13.8</v>
      </c>
      <c r="D28" s="125">
        <f>B28*100/'Нормы по школам-интернатам'!C29</f>
        <v>92</v>
      </c>
      <c r="E28" s="79">
        <f>B28*'Нормы по школам-интернатам'!D29/'Нормы по школам-интернатам'!B29</f>
        <v>0</v>
      </c>
      <c r="F28" s="79">
        <f>B28*'Нормы по школам-интернатам'!E29/'Нормы по школам-интернатам'!B29</f>
        <v>13.786200000000001</v>
      </c>
      <c r="G28" s="79">
        <f>B28*'Нормы по школам-интернатам'!F29/'Нормы по школам-интернатам'!B29</f>
        <v>0</v>
      </c>
      <c r="H28" s="80">
        <f>B28*'Нормы по школам-интернатам'!G29/'Нормы по школам-интернатам'!B29</f>
        <v>124.062</v>
      </c>
      <c r="I28" s="105">
        <v>14.8</v>
      </c>
      <c r="J28" s="131">
        <f t="shared" si="1"/>
        <v>14.8</v>
      </c>
      <c r="K28" s="125">
        <f>I28*100/'Нормы по школам-интернатам'!I29</f>
        <v>82.22222222222223</v>
      </c>
      <c r="L28" s="81">
        <f>I28*'Нормы по школам-интернатам'!J29/'Нормы по школам-интернатам'!H29</f>
        <v>0</v>
      </c>
      <c r="M28" s="81">
        <f>I28*'Нормы по школам-интернатам'!K29/'Нормы по школам-интернатам'!H29</f>
        <v>14.7852</v>
      </c>
      <c r="N28" s="81">
        <f>I28*'Нормы по школам-интернатам'!L29/'Нормы по школам-интернатам'!H29</f>
        <v>0</v>
      </c>
      <c r="O28" s="82">
        <f>I28*'Нормы по школам-интернатам'!M29/'Нормы по школам-интернатам'!H29</f>
        <v>133.05200000000002</v>
      </c>
    </row>
    <row r="29" spans="1:15" s="27" customFormat="1" ht="15" customHeight="1">
      <c r="A29" s="97" t="s">
        <v>34</v>
      </c>
      <c r="B29" s="105">
        <v>0.4</v>
      </c>
      <c r="C29" s="131">
        <f>B29*'Нормы по школам-интернатам'!C30/'Нормы по школам-интернатам'!B30</f>
        <v>16</v>
      </c>
      <c r="D29" s="125">
        <f>B29*100/'Нормы по школам-интернатам'!C30</f>
        <v>1</v>
      </c>
      <c r="E29" s="79">
        <f>B29*'Нормы по школам-интернатам'!D30/'Нормы по школам-интернатам'!B30</f>
        <v>2.032</v>
      </c>
      <c r="F29" s="79">
        <f>B29*'Нормы по школам-интернатам'!E30/'Нормы по школам-интернатам'!B30</f>
        <v>1.8399999999999999</v>
      </c>
      <c r="G29" s="79">
        <f>B29*'Нормы по школам-интернатам'!F30/'Нормы по школам-интернатам'!B30</f>
        <v>0.11200000000000002</v>
      </c>
      <c r="H29" s="80">
        <f>B29*'Нормы по школам-интернатам'!G30/'Нормы по школам-интернатам'!B30</f>
        <v>25.12</v>
      </c>
      <c r="I29" s="105">
        <v>0.5</v>
      </c>
      <c r="J29" s="131">
        <f t="shared" si="1"/>
        <v>0.5</v>
      </c>
      <c r="K29" s="125">
        <f>I29*100/'Нормы по школам-интернатам'!I30</f>
        <v>1.25</v>
      </c>
      <c r="L29" s="81">
        <f>I29*'Нормы по школам-интернатам'!J30/'Нормы по школам-интернатам'!H30</f>
        <v>2.54</v>
      </c>
      <c r="M29" s="81">
        <f>I29*'Нормы по школам-интернатам'!K30/'Нормы по школам-интернатам'!H30</f>
        <v>2.3</v>
      </c>
      <c r="N29" s="81">
        <f>I29*'Нормы по школам-интернатам'!L30/'Нормы по школам-интернатам'!H30</f>
        <v>0.14</v>
      </c>
      <c r="O29" s="82">
        <f>I29*'Нормы по школам-интернатам'!M30/'Нормы по школам-интернатам'!H30</f>
        <v>31.4</v>
      </c>
    </row>
    <row r="30" spans="1:15" s="27" customFormat="1" ht="15" customHeight="1">
      <c r="A30" s="98" t="s">
        <v>11</v>
      </c>
      <c r="B30" s="105">
        <v>31.1</v>
      </c>
      <c r="C30" s="131">
        <f t="shared" si="0"/>
        <v>31.1</v>
      </c>
      <c r="D30" s="125">
        <f>B30*100/'Нормы по школам-интернатам'!C31</f>
        <v>77.75</v>
      </c>
      <c r="E30" s="79">
        <f>B30*'Нормы по школам-интернатам'!D31/'Нормы по школам-интернатам'!B31</f>
        <v>0</v>
      </c>
      <c r="F30" s="79">
        <f>B30*'Нормы по школам-интернатам'!E31/'Нормы по школам-интернатам'!B31</f>
        <v>0</v>
      </c>
      <c r="G30" s="79">
        <f>B30*'Нормы по школам-интернатам'!F31/'Нормы по школам-интернатам'!B31</f>
        <v>31.037800000000004</v>
      </c>
      <c r="H30" s="80">
        <f>B30*'Нормы по школам-интернатам'!G31/'Нормы по школам-интернатам'!B31</f>
        <v>124.08900000000001</v>
      </c>
      <c r="I30" s="105">
        <v>30</v>
      </c>
      <c r="J30" s="131">
        <f t="shared" si="1"/>
        <v>30</v>
      </c>
      <c r="K30" s="125">
        <f>I30*100/'Нормы по школам-интернатам'!I31</f>
        <v>66.66666666666667</v>
      </c>
      <c r="L30" s="81">
        <f>I30*'Нормы по школам-интернатам'!J31/'Нормы по школам-интернатам'!H31</f>
        <v>0</v>
      </c>
      <c r="M30" s="81">
        <f>I30*'Нормы по школам-интернатам'!K31/'Нормы по школам-интернатам'!H31</f>
        <v>0</v>
      </c>
      <c r="N30" s="81">
        <f>I30*'Нормы по школам-интернатам'!L31/'Нормы по школам-интернатам'!H31</f>
        <v>29.939999999999998</v>
      </c>
      <c r="O30" s="82">
        <f>I30*'Нормы по школам-интернатам'!M31/'Нормы по школам-интернатам'!H31</f>
        <v>119.7</v>
      </c>
    </row>
    <row r="31" spans="1:15" s="27" customFormat="1" ht="15" customHeight="1">
      <c r="A31" s="97" t="s">
        <v>10</v>
      </c>
      <c r="B31" s="105">
        <v>0</v>
      </c>
      <c r="C31" s="131">
        <f t="shared" si="0"/>
        <v>0</v>
      </c>
      <c r="D31" s="125">
        <f>B31*100/'Нормы по школам-интернатам'!C32</f>
        <v>0</v>
      </c>
      <c r="E31" s="79">
        <f>B31*'Нормы по школам-интернатам'!D32/'Нормы по школам-интернатам'!B32</f>
        <v>0</v>
      </c>
      <c r="F31" s="79">
        <f>B31*'Нормы по школам-интернатам'!E32/'Нормы по школам-интернатам'!B32</f>
        <v>0</v>
      </c>
      <c r="G31" s="79">
        <f>B31*'Нормы по школам-интернатам'!F32/'Нормы по школам-интернатам'!B32</f>
        <v>0</v>
      </c>
      <c r="H31" s="80">
        <f>B31*'Нормы по школам-интернатам'!G32/'Нормы по школам-интернатам'!B32</f>
        <v>0</v>
      </c>
      <c r="I31" s="105">
        <v>0</v>
      </c>
      <c r="J31" s="131">
        <f t="shared" si="1"/>
        <v>0</v>
      </c>
      <c r="K31" s="125">
        <f>I31*100/'Нормы по школам-интернатам'!I32</f>
        <v>0</v>
      </c>
      <c r="L31" s="81">
        <f>I31*'Нормы по школам-интернатам'!J32/'Нормы по школам-интернатам'!H32</f>
        <v>0</v>
      </c>
      <c r="M31" s="81">
        <f>I31*'Нормы по школам-интернатам'!K32/'Нормы по школам-интернатам'!H32</f>
        <v>0</v>
      </c>
      <c r="N31" s="81">
        <f>I31*'Нормы по школам-интернатам'!L32/'Нормы по школам-интернатам'!H32</f>
        <v>0</v>
      </c>
      <c r="O31" s="82">
        <f>I31*'Нормы по школам-интернатам'!M32/'Нормы по школам-интернатам'!H32</f>
        <v>0</v>
      </c>
    </row>
    <row r="32" spans="1:15" ht="15" customHeight="1">
      <c r="A32" s="95" t="s">
        <v>17</v>
      </c>
      <c r="B32" s="105">
        <v>0.3</v>
      </c>
      <c r="C32" s="131">
        <f t="shared" si="0"/>
        <v>0.3</v>
      </c>
      <c r="D32" s="125">
        <f>B32*100/'Нормы по школам-интернатам'!C33</f>
        <v>75</v>
      </c>
      <c r="E32" s="79">
        <f>B32*'Нормы по школам-интернатам'!D33/'Нормы по школам-интернатам'!B33</f>
        <v>0.00030000000000000003</v>
      </c>
      <c r="F32" s="79">
        <f>B32*'Нормы по школам-интернатам'!E33/'Нормы по школам-интернатам'!B33</f>
        <v>0</v>
      </c>
      <c r="G32" s="79">
        <f>B32*'Нормы по школам-интернатам'!F33/'Нормы по школам-интернатам'!B33</f>
        <v>0</v>
      </c>
      <c r="H32" s="80">
        <f>B32*'Нормы по школам-интернатам'!G33/'Нормы по школам-интернатам'!B33</f>
        <v>0</v>
      </c>
      <c r="I32" s="105">
        <v>0.25</v>
      </c>
      <c r="J32" s="131">
        <f t="shared" si="1"/>
        <v>0.25</v>
      </c>
      <c r="K32" s="125">
        <f>I32*100/'Нормы по школам-интернатам'!I33</f>
        <v>62.5</v>
      </c>
      <c r="L32" s="81">
        <f>I32*'Нормы по школам-интернатам'!J33/'Нормы по школам-интернатам'!H33</f>
        <v>0.00025</v>
      </c>
      <c r="M32" s="81">
        <f>I32*'Нормы по школам-интернатам'!K33/'Нормы по школам-интернатам'!H33</f>
        <v>0</v>
      </c>
      <c r="N32" s="81">
        <f>I32*'Нормы по школам-интернатам'!L33/'Нормы по школам-интернатам'!H33</f>
        <v>0</v>
      </c>
      <c r="O32" s="82">
        <f>I32*'Нормы по школам-интернатам'!M33/'Нормы по школам-интернатам'!H33</f>
        <v>0</v>
      </c>
    </row>
    <row r="33" spans="1:15" ht="15" customHeight="1">
      <c r="A33" s="95" t="s">
        <v>26</v>
      </c>
      <c r="B33" s="105">
        <v>0.8</v>
      </c>
      <c r="C33" s="131">
        <f t="shared" si="0"/>
        <v>0.8</v>
      </c>
      <c r="D33" s="125">
        <f>B33*100/'Нормы по школам-интернатам'!C34</f>
        <v>66.66666666666667</v>
      </c>
      <c r="E33" s="79">
        <f>B33*'Нормы по школам-интернатам'!D34/'Нормы по школам-интернатам'!B34</f>
        <v>0.19440000000000004</v>
      </c>
      <c r="F33" s="79">
        <f>B33*'Нормы по школам-интернатам'!E34/'Нормы по школам-интернатам'!B34</f>
        <v>0.12</v>
      </c>
      <c r="G33" s="79">
        <f>B33*'Нормы по школам-интернатам'!F34/'Нормы по школам-интернатам'!B34</f>
        <v>0.08159999999999999</v>
      </c>
      <c r="H33" s="80">
        <f>B33*'Нормы по школам-интернатам'!G34/'Нормы по школам-интернатам'!B34</f>
        <v>2.3120000000000003</v>
      </c>
      <c r="I33" s="105">
        <v>1.8</v>
      </c>
      <c r="J33" s="131">
        <f t="shared" si="1"/>
        <v>1.8</v>
      </c>
      <c r="K33" s="125">
        <f>I33*100/'Нормы по школам-интернатам'!I34</f>
        <v>150</v>
      </c>
      <c r="L33" s="81">
        <f>I33*'Нормы по школам-интернатам'!J34/'Нормы по школам-интернатам'!H34</f>
        <v>0.4374</v>
      </c>
      <c r="M33" s="81">
        <f>I33*'Нормы по школам-интернатам'!K34/'Нормы по школам-интернатам'!H34</f>
        <v>0.27</v>
      </c>
      <c r="N33" s="81">
        <f>I33*'Нормы по школам-интернатам'!L34/'Нормы по школам-интернатам'!H34</f>
        <v>0.18359999999999999</v>
      </c>
      <c r="O33" s="82">
        <f>I33*'Нормы по школам-интернатам'!M34/'Нормы по школам-интернатам'!H34</f>
        <v>5.202</v>
      </c>
    </row>
    <row r="34" spans="1:15" ht="15" customHeight="1">
      <c r="A34" s="95" t="s">
        <v>19</v>
      </c>
      <c r="B34" s="105">
        <v>1.14</v>
      </c>
      <c r="C34" s="131">
        <f t="shared" si="0"/>
        <v>1.14</v>
      </c>
      <c r="D34" s="125">
        <f>B34*100/'Нормы по школам-интернатам'!C35</f>
        <v>113.99999999999999</v>
      </c>
      <c r="E34" s="79">
        <f>B34*'Нормы по школам-интернатам'!D35/'Нормы по школам-интернатам'!B35</f>
        <v>0.14478</v>
      </c>
      <c r="F34" s="79">
        <f>B34*'Нормы по школам-интернатам'!E35/'Нормы по школам-интернатам'!B35</f>
        <v>0.030780000000000002</v>
      </c>
      <c r="G34" s="79">
        <f>B34*'Нормы по школам-интернатам'!F35/'Нормы по школам-интернатам'!B35</f>
        <v>0.0969</v>
      </c>
      <c r="H34" s="80">
        <f>B34*'Нормы по школам-интернатам'!G35/'Нормы по школам-интернатам'!B35</f>
        <v>1.2426</v>
      </c>
      <c r="I34" s="105">
        <v>0</v>
      </c>
      <c r="J34" s="131">
        <f t="shared" si="1"/>
        <v>0</v>
      </c>
      <c r="K34" s="125">
        <f>I34*100/'Нормы по школам-интернатам'!I35</f>
        <v>0</v>
      </c>
      <c r="L34" s="81">
        <f>I34*'Нормы по школам-интернатам'!J35/'Нормы по школам-интернатам'!H35</f>
        <v>0</v>
      </c>
      <c r="M34" s="81">
        <f>I34*'Нормы по школам-интернатам'!K35/'Нормы по школам-интернатам'!H35</f>
        <v>0</v>
      </c>
      <c r="N34" s="81">
        <f>I34*'Нормы по школам-интернатам'!L35/'Нормы по школам-интернатам'!H35</f>
        <v>0</v>
      </c>
      <c r="O34" s="82">
        <f>I34*'Нормы по школам-интернатам'!M35/'Нормы по школам-интернатам'!H35</f>
        <v>0</v>
      </c>
    </row>
    <row r="35" spans="1:15" ht="15" customHeight="1" thickBot="1">
      <c r="A35" s="99" t="s">
        <v>18</v>
      </c>
      <c r="B35" s="106">
        <v>9.45</v>
      </c>
      <c r="C35" s="132">
        <f>B35</f>
        <v>9.45</v>
      </c>
      <c r="D35" s="127">
        <f>B35*100/'Нормы по школам-интернатам'!C36</f>
        <v>188.99999999999997</v>
      </c>
      <c r="E35" s="102">
        <f>B35*'Нормы по школам-интернатам'!D36/'Нормы по школам-интернатам'!B36</f>
        <v>0</v>
      </c>
      <c r="F35" s="102">
        <f>B35*'Нормы по школам-интернатам'!E36/'Нормы по школам-интернатам'!B36</f>
        <v>0</v>
      </c>
      <c r="G35" s="102">
        <f>B35*'Нормы по школам-интернатам'!F35/'Нормы по школам-интернатам'!B35</f>
        <v>0.80325</v>
      </c>
      <c r="H35" s="103">
        <f>B35*'Нормы по школам-интернатам'!G35/'Нормы по школам-интернатам'!B35</f>
        <v>10.3005</v>
      </c>
      <c r="I35" s="106">
        <v>9.8</v>
      </c>
      <c r="J35" s="132">
        <f>I35</f>
        <v>9.8</v>
      </c>
      <c r="K35" s="127">
        <f>I35*100/'Нормы по школам-интернатам'!I36</f>
        <v>140.00000000000003</v>
      </c>
      <c r="L35" s="128">
        <f>I35*'Нормы по школам-интернатам'!J36/'Нормы по школам-интернатам'!H36</f>
        <v>0</v>
      </c>
      <c r="M35" s="128">
        <f>I35*'Нормы по школам-интернатам'!K36/'Нормы по школам-интернатам'!H36</f>
        <v>0</v>
      </c>
      <c r="N35" s="128">
        <f>I35*'Нормы по школам-интернатам'!L36/'Нормы по школам-интернатам'!H36</f>
        <v>0</v>
      </c>
      <c r="O35" s="129">
        <f>I35*'Нормы по школам-интернатам'!M36/'Нормы по школам-интернатам'!H36</f>
        <v>0</v>
      </c>
    </row>
    <row r="36" spans="1:15" ht="16.5" customHeight="1">
      <c r="A36" s="83" t="s">
        <v>24</v>
      </c>
      <c r="B36" s="84"/>
      <c r="C36" s="84"/>
      <c r="D36" s="85"/>
      <c r="E36" s="100" t="s">
        <v>20</v>
      </c>
      <c r="F36" s="101" t="s">
        <v>21</v>
      </c>
      <c r="G36" s="101" t="s">
        <v>22</v>
      </c>
      <c r="H36" s="115" t="s">
        <v>23</v>
      </c>
      <c r="I36" s="86"/>
      <c r="J36" s="86"/>
      <c r="K36" s="86"/>
      <c r="L36" s="100" t="s">
        <v>20</v>
      </c>
      <c r="M36" s="101" t="s">
        <v>21</v>
      </c>
      <c r="N36" s="101" t="s">
        <v>22</v>
      </c>
      <c r="O36" s="115" t="s">
        <v>23</v>
      </c>
    </row>
    <row r="37" spans="1:15" ht="14.25" customHeight="1">
      <c r="A37" s="34" t="s">
        <v>37</v>
      </c>
      <c r="B37" s="87"/>
      <c r="C37" s="87"/>
      <c r="D37" s="88"/>
      <c r="E37" s="89">
        <f>SUM(E4:E35)</f>
        <v>85.46673065151514</v>
      </c>
      <c r="F37" s="90">
        <f>SUM(F4:F35)</f>
        <v>72.24667981313132</v>
      </c>
      <c r="G37" s="90">
        <f>SUM(G4:G35)</f>
        <v>257.7359719999999</v>
      </c>
      <c r="H37" s="91">
        <f>SUM(H4:H35)</f>
        <v>2084.3915963636364</v>
      </c>
      <c r="I37" s="92"/>
      <c r="J37" s="92"/>
      <c r="K37" s="93"/>
      <c r="L37" s="89">
        <f>SUM(L4:L35)</f>
        <v>95.03779197480621</v>
      </c>
      <c r="M37" s="90">
        <f>SUM(M4:M35)</f>
        <v>78.24941915968992</v>
      </c>
      <c r="N37" s="90">
        <f>SUM(N4:N35)</f>
        <v>296.7328244666666</v>
      </c>
      <c r="O37" s="91">
        <f>SUM(O4:O35)</f>
        <v>2305.704007600775</v>
      </c>
    </row>
    <row r="38" spans="1:15" s="124" customFormat="1" ht="15" customHeight="1" thickBot="1">
      <c r="A38" s="33" t="s">
        <v>28</v>
      </c>
      <c r="B38" s="38"/>
      <c r="C38" s="38"/>
      <c r="D38" s="30"/>
      <c r="E38" s="116">
        <f>100*E37/'Нормы по школам-интернатам'!B38</f>
        <v>63.40015555711123</v>
      </c>
      <c r="F38" s="117">
        <f>100*F37/'Нормы по школам-интернатам'!B39</f>
        <v>77.02625718845493</v>
      </c>
      <c r="G38" s="117">
        <f>100*G37/'Нормы по школам-интернатам'!B40</f>
        <v>76.26898348171414</v>
      </c>
      <c r="H38" s="118">
        <f>100*H37/'Нормы по школам-интернатам'!B41</f>
        <v>79.39771075329928</v>
      </c>
      <c r="I38" s="119"/>
      <c r="J38" s="119"/>
      <c r="K38" s="120"/>
      <c r="L38" s="121">
        <f>100*L37/'Нормы по школам-интернатам'!H38</f>
        <v>60.09982575785723</v>
      </c>
      <c r="M38" s="122">
        <f>100*M37/'Нормы по школам-интернатам'!H39</f>
        <v>70.69102532876146</v>
      </c>
      <c r="N38" s="122">
        <f>100*N37/'Нормы по школам-интернатам'!H40</f>
        <v>72.85088144410021</v>
      </c>
      <c r="O38" s="123">
        <f>100*O37/'Нормы по школам-интернатам'!H41</f>
        <v>73.3706519563303</v>
      </c>
    </row>
    <row r="39" spans="1:15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15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15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15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15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15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4.25">
      <c r="A45" s="34"/>
      <c r="I45" s="31"/>
      <c r="J45" s="31"/>
      <c r="K45" s="31"/>
      <c r="L45" s="31"/>
      <c r="M45" s="31"/>
      <c r="N45" s="31"/>
      <c r="O45" s="31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  <row r="60" ht="14.25">
      <c r="A60" s="34"/>
    </row>
    <row r="61" ht="14.25">
      <c r="A61" s="34"/>
    </row>
    <row r="62" ht="14.25">
      <c r="A62" s="34"/>
    </row>
    <row r="63" ht="14.25">
      <c r="A63" s="34"/>
    </row>
    <row r="64" ht="14.25">
      <c r="A64" s="34"/>
    </row>
    <row r="65" ht="14.25">
      <c r="A65" s="34"/>
    </row>
    <row r="66" ht="14.25">
      <c r="A66" s="34"/>
    </row>
    <row r="67" ht="14.25">
      <c r="A67" s="34"/>
    </row>
    <row r="68" ht="14.25">
      <c r="A68" s="34"/>
    </row>
    <row r="69" ht="14.25">
      <c r="A69" s="34"/>
    </row>
    <row r="70" ht="14.25">
      <c r="A70" s="34"/>
    </row>
    <row r="71" ht="14.25">
      <c r="A71" s="34"/>
    </row>
    <row r="72" ht="12.75">
      <c r="A72" s="35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</sheetData>
  <sheetProtection password="CA75" sheet="1" formatCells="0" formatColumns="0" formatRows="0"/>
  <mergeCells count="4">
    <mergeCell ref="B1:O1"/>
    <mergeCell ref="A2:A3"/>
    <mergeCell ref="B2:H2"/>
    <mergeCell ref="I2:O2"/>
  </mergeCells>
  <printOptions/>
  <pageMargins left="0.24" right="0.29" top="0.19" bottom="0.15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2015-09-10T13:02:26Z</cp:lastPrinted>
  <dcterms:created xsi:type="dcterms:W3CDTF">1996-10-08T23:32:33Z</dcterms:created>
  <dcterms:modified xsi:type="dcterms:W3CDTF">2015-09-15T07:13:31Z</dcterms:modified>
  <cp:category/>
  <cp:version/>
  <cp:contentType/>
  <cp:contentStatus/>
</cp:coreProperties>
</file>